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camil\Documents\NOVENO SEMESTRE\BATIFRUIT´S S.A.S\Auditoría T.I\"/>
    </mc:Choice>
  </mc:AlternateContent>
  <xr:revisionPtr revIDLastSave="0" documentId="13_ncr:1_{EE51DF86-80F6-4F84-AC1A-FF02F1B9DB4A}" xr6:coauthVersionLast="44" xr6:coauthVersionMax="44" xr10:uidLastSave="{00000000-0000-0000-0000-000000000000}"/>
  <workbookProtection workbookAlgorithmName="SHA-512" workbookHashValue="H5w6Wm8BMYHf3RNjs0GclV1CVj70UOcICTZA4DCae6VYxnKKj5xkSDT5gk3BJ8i2/33H69REDAoL3AlpYcffvw==" workbookSaltValue="EQFU+VB9/Svo5Z77cJYwCg==" workbookSpinCount="100000" lockStructure="1"/>
  <bookViews>
    <workbookView xWindow="-120" yWindow="-120" windowWidth="20730" windowHeight="11280" xr2:uid="{00000000-000D-0000-FFFF-FFFF00000000}"/>
  </bookViews>
  <sheets>
    <sheet name="BSC Batifruit´s" sheetId="1" r:id="rId1"/>
    <sheet name="EE.RR" sheetId="3" state="hidden" r:id="rId2"/>
    <sheet name="E.S.F" sheetId="4" state="hidden" r:id="rId3"/>
    <sheet name="Empleados" sheetId="5" state="hidden" r:id="rId4"/>
    <sheet name="Controles" sheetId="7" state="hidden" r:id="rId5"/>
  </sheets>
  <definedNames>
    <definedName name="_xlnm._FilterDatabase" localSheetId="4" hidden="1">Controles!$D$9:$U$28</definedName>
    <definedName name="AS2DocOpenMode" hidden="1">"AS2DocumentEdit"</definedName>
    <definedName name="Q">#REF!</definedName>
    <definedName name="TextRefCopy5">#REF!</definedName>
    <definedName name="TextRefCopy6">#REF!</definedName>
    <definedName name="TextRefCopy7">#REF!</definedName>
    <definedName name="TextRefCopy8">#REF!</definedName>
    <definedName name="TextRefCopyRangeCount" hidden="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3" i="1" l="1"/>
  <c r="C19" i="4"/>
  <c r="E13" i="1"/>
  <c r="F22" i="1"/>
  <c r="E21" i="1"/>
  <c r="J21" i="1" l="1"/>
  <c r="H28" i="1"/>
  <c r="F29" i="1"/>
  <c r="E25" i="1"/>
  <c r="K25" i="1" s="1"/>
  <c r="K22" i="1"/>
  <c r="H17" i="1"/>
  <c r="J17" i="1"/>
  <c r="K20" i="1"/>
  <c r="K19" i="1"/>
  <c r="K18" i="1"/>
  <c r="K17" i="1"/>
  <c r="L17" i="1" l="1"/>
  <c r="H14" i="1"/>
  <c r="J14" i="1"/>
  <c r="H31" i="1"/>
  <c r="H30" i="1"/>
  <c r="H29" i="1"/>
  <c r="H27" i="1"/>
  <c r="H26" i="1"/>
  <c r="H24" i="1"/>
  <c r="H23" i="1"/>
  <c r="H22" i="1"/>
  <c r="L22" i="1" s="1"/>
  <c r="H21" i="1"/>
  <c r="H20" i="1"/>
  <c r="L20" i="1" s="1"/>
  <c r="H18" i="1"/>
  <c r="H16" i="1"/>
  <c r="H15" i="1"/>
  <c r="H13" i="1"/>
  <c r="K30" i="1"/>
  <c r="K27" i="1"/>
  <c r="K26" i="1"/>
  <c r="K24" i="1"/>
  <c r="K23" i="1"/>
  <c r="J31" i="1"/>
  <c r="J30" i="1"/>
  <c r="J29" i="1"/>
  <c r="J27" i="1"/>
  <c r="J26" i="1"/>
  <c r="J24" i="1"/>
  <c r="J23" i="1"/>
  <c r="J22" i="1"/>
  <c r="J20" i="1"/>
  <c r="J19" i="1"/>
  <c r="J18" i="1"/>
  <c r="J16" i="1"/>
  <c r="J15" i="1"/>
  <c r="J13" i="1"/>
  <c r="L19" i="1"/>
  <c r="J12" i="1"/>
  <c r="H12" i="1"/>
  <c r="A31" i="5"/>
  <c r="A30" i="5"/>
  <c r="A29" i="5"/>
  <c r="A28" i="5"/>
  <c r="A27" i="5"/>
  <c r="A26" i="5"/>
  <c r="A25" i="5"/>
  <c r="A24" i="5"/>
  <c r="A23" i="5"/>
  <c r="A22" i="5"/>
  <c r="A21" i="5"/>
  <c r="A20" i="5"/>
  <c r="A19" i="5"/>
  <c r="A18" i="5"/>
  <c r="A17" i="5"/>
  <c r="A16" i="5"/>
  <c r="A15" i="5"/>
  <c r="A14" i="5"/>
  <c r="A13" i="5"/>
  <c r="A12" i="5"/>
  <c r="A11" i="5"/>
  <c r="A10" i="5"/>
  <c r="A9" i="5"/>
  <c r="A8" i="5"/>
  <c r="A7" i="5"/>
  <c r="A6" i="5"/>
  <c r="L27" i="1" l="1"/>
  <c r="L30" i="1"/>
  <c r="L23" i="1"/>
  <c r="L25" i="1"/>
  <c r="L24" i="1"/>
  <c r="L18" i="1"/>
  <c r="L26" i="1"/>
  <c r="E43" i="4" l="1"/>
  <c r="C43" i="4"/>
  <c r="H43" i="4" s="1"/>
  <c r="I43" i="4" s="1"/>
  <c r="E42" i="4"/>
  <c r="C42" i="4"/>
  <c r="H42" i="4" s="1"/>
  <c r="I42" i="4" s="1"/>
  <c r="E41" i="4"/>
  <c r="C41" i="4"/>
  <c r="E40" i="4"/>
  <c r="C40" i="4"/>
  <c r="E39" i="4"/>
  <c r="C39" i="4"/>
  <c r="E38" i="4"/>
  <c r="C38" i="4"/>
  <c r="E32" i="4"/>
  <c r="E33" i="4" s="1"/>
  <c r="C32" i="4"/>
  <c r="C33" i="4" s="1"/>
  <c r="E28" i="4"/>
  <c r="C28" i="4"/>
  <c r="H28" i="4" s="1"/>
  <c r="I28" i="4" s="1"/>
  <c r="E27" i="4"/>
  <c r="C27" i="4"/>
  <c r="E26" i="4"/>
  <c r="C26" i="4"/>
  <c r="E25" i="4"/>
  <c r="C25" i="4"/>
  <c r="E19" i="4"/>
  <c r="E18" i="4"/>
  <c r="E20" i="4" s="1"/>
  <c r="C18" i="4"/>
  <c r="N16" i="4"/>
  <c r="E14" i="4"/>
  <c r="C14" i="4"/>
  <c r="H14" i="4" s="1"/>
  <c r="I14" i="4" s="1"/>
  <c r="E13" i="4"/>
  <c r="C13" i="4"/>
  <c r="E12" i="4"/>
  <c r="C12" i="4"/>
  <c r="E11" i="4"/>
  <c r="C11" i="4"/>
  <c r="H11" i="4" s="1"/>
  <c r="I11" i="4" s="1"/>
  <c r="E10" i="4"/>
  <c r="H32" i="4" l="1"/>
  <c r="I32" i="4" s="1"/>
  <c r="H40" i="4"/>
  <c r="I40" i="4" s="1"/>
  <c r="H26" i="4"/>
  <c r="I26" i="4" s="1"/>
  <c r="H41" i="4"/>
  <c r="I41" i="4" s="1"/>
  <c r="C44" i="4"/>
  <c r="F16" i="1" s="1"/>
  <c r="H27" i="4"/>
  <c r="I27" i="4" s="1"/>
  <c r="H13" i="4"/>
  <c r="I13" i="4" s="1"/>
  <c r="E44" i="4"/>
  <c r="C15" i="4"/>
  <c r="K21" i="1"/>
  <c r="L21" i="1" s="1"/>
  <c r="H19" i="4"/>
  <c r="I19" i="4" s="1"/>
  <c r="C29" i="4"/>
  <c r="C35" i="4" s="1"/>
  <c r="C46" i="4" s="1"/>
  <c r="D25" i="4" s="1"/>
  <c r="H39" i="4"/>
  <c r="I39" i="4" s="1"/>
  <c r="E15" i="4"/>
  <c r="E22" i="4" s="1"/>
  <c r="F14" i="4" s="1"/>
  <c r="H10" i="4"/>
  <c r="I10" i="4" s="1"/>
  <c r="H12" i="4"/>
  <c r="I12" i="4" s="1"/>
  <c r="C20" i="4"/>
  <c r="H20" i="4" s="1"/>
  <c r="I20" i="4" s="1"/>
  <c r="H44" i="4"/>
  <c r="I44" i="4" s="1"/>
  <c r="E29" i="4"/>
  <c r="E35" i="4" s="1"/>
  <c r="H25" i="4"/>
  <c r="I25" i="4" s="1"/>
  <c r="H33" i="4"/>
  <c r="I33" i="4" s="1"/>
  <c r="H18" i="4"/>
  <c r="I18" i="4" s="1"/>
  <c r="H38" i="4"/>
  <c r="I38" i="4" s="1"/>
  <c r="H15" i="4" l="1"/>
  <c r="I15" i="4" s="1"/>
  <c r="H35" i="4"/>
  <c r="I35" i="4" s="1"/>
  <c r="C22" i="4"/>
  <c r="D12" i="4" s="1"/>
  <c r="E46" i="4"/>
  <c r="F19" i="4"/>
  <c r="F11" i="4"/>
  <c r="F18" i="4"/>
  <c r="H46" i="4"/>
  <c r="I46" i="4" s="1"/>
  <c r="D38" i="4"/>
  <c r="D28" i="4"/>
  <c r="D32" i="4"/>
  <c r="D42" i="4"/>
  <c r="H29" i="4"/>
  <c r="I29" i="4" s="1"/>
  <c r="F12" i="4"/>
  <c r="F10" i="4"/>
  <c r="D40" i="4"/>
  <c r="D43" i="4"/>
  <c r="D26" i="4"/>
  <c r="F13" i="4"/>
  <c r="D39" i="4"/>
  <c r="D41" i="4"/>
  <c r="D27" i="4"/>
  <c r="D46" i="4" l="1"/>
  <c r="D10" i="4"/>
  <c r="H22" i="4"/>
  <c r="I22" i="4" s="1"/>
  <c r="D11" i="4"/>
  <c r="D19" i="4"/>
  <c r="D14" i="4"/>
  <c r="D13" i="4"/>
  <c r="D18" i="4"/>
  <c r="F22" i="4"/>
  <c r="F39" i="4"/>
  <c r="F25" i="4"/>
  <c r="F43" i="4"/>
  <c r="F28" i="4"/>
  <c r="F38" i="4"/>
  <c r="F27" i="4"/>
  <c r="F40" i="4"/>
  <c r="F42" i="4"/>
  <c r="F41" i="4"/>
  <c r="F32" i="4"/>
  <c r="F26" i="4"/>
  <c r="D22" i="4" l="1"/>
  <c r="F46" i="4"/>
  <c r="F19" i="3" l="1"/>
  <c r="D19" i="3"/>
  <c r="E19" i="3" s="1"/>
  <c r="M17" i="3"/>
  <c r="F17" i="3" s="1"/>
  <c r="I17" i="3" s="1"/>
  <c r="J17" i="3" s="1"/>
  <c r="K17" i="3"/>
  <c r="E17" i="3"/>
  <c r="F16" i="3"/>
  <c r="D16" i="3"/>
  <c r="F14" i="3"/>
  <c r="I14" i="3" s="1"/>
  <c r="J14" i="3" s="1"/>
  <c r="E14" i="3"/>
  <c r="F13" i="3"/>
  <c r="E13" i="3"/>
  <c r="D12" i="3"/>
  <c r="D15" i="3" s="1"/>
  <c r="F11" i="3"/>
  <c r="I11" i="3" s="1"/>
  <c r="J11" i="3" s="1"/>
  <c r="E11" i="3"/>
  <c r="F10" i="3"/>
  <c r="M9" i="3"/>
  <c r="I13" i="3" l="1"/>
  <c r="J13" i="3" s="1"/>
  <c r="G13" i="3"/>
  <c r="E28" i="1"/>
  <c r="E31" i="1"/>
  <c r="K31" i="1" s="1"/>
  <c r="L31" i="1" s="1"/>
  <c r="G19" i="3"/>
  <c r="I10" i="3"/>
  <c r="J10" i="3" s="1"/>
  <c r="E12" i="1"/>
  <c r="F12" i="1"/>
  <c r="I16" i="3"/>
  <c r="J16" i="3" s="1"/>
  <c r="I19" i="3"/>
  <c r="J19" i="3" s="1"/>
  <c r="D18" i="3"/>
  <c r="F12" i="3"/>
  <c r="F15" i="3" s="1"/>
  <c r="F18" i="3" s="1"/>
  <c r="F20" i="3" s="1"/>
  <c r="G17" i="3"/>
  <c r="G14" i="3"/>
  <c r="E16" i="3"/>
  <c r="G11" i="3"/>
  <c r="G16" i="3"/>
  <c r="F15" i="1" l="1"/>
  <c r="E16" i="1" s="1"/>
  <c r="K16" i="1" s="1"/>
  <c r="L16" i="1" s="1"/>
  <c r="K12" i="1"/>
  <c r="L12" i="1" s="1"/>
  <c r="E29" i="1"/>
  <c r="K29" i="1" s="1"/>
  <c r="L29" i="1" s="1"/>
  <c r="K28" i="1"/>
  <c r="L28" i="1" s="1"/>
  <c r="G20" i="3"/>
  <c r="O9" i="3"/>
  <c r="I18" i="3"/>
  <c r="J18" i="3" s="1"/>
  <c r="D20" i="3"/>
  <c r="I12" i="3"/>
  <c r="J12" i="3" s="1"/>
  <c r="I15" i="3"/>
  <c r="J15" i="3" s="1"/>
  <c r="E14" i="1" l="1"/>
  <c r="K14" i="1" s="1"/>
  <c r="L14" i="1" s="1"/>
  <c r="E15" i="1"/>
  <c r="K15" i="1" s="1"/>
  <c r="L15" i="1" s="1"/>
  <c r="K13" i="1"/>
  <c r="L13" i="1" s="1"/>
  <c r="N9" i="3"/>
  <c r="I20" i="3"/>
  <c r="J20" i="3" s="1"/>
  <c r="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tc={B160FF0F-8FCD-4376-9101-0764DCA9A48E}</author>
  </authors>
  <commentList>
    <comment ref="F22" authorId="0" shapeId="0" xr:uid="{B160FF0F-8FCD-4376-9101-0764DCA9A48E}">
      <text>
        <t>[Threaded comment]
Your version of Excel allows you to read this threaded comment; however, any edits to it will get removed if the file is opened in a newer version of Excel. Learn more: https://go.microsoft.com/fwlink/?linkid=870924
Comment:
    13 Empleados que requieren manejo de sistema T.I</t>
      </text>
    </comment>
  </commentList>
</comments>
</file>

<file path=xl/sharedStrings.xml><?xml version="1.0" encoding="utf-8"?>
<sst xmlns="http://schemas.openxmlformats.org/spreadsheetml/2006/main" count="413" uniqueCount="289">
  <si>
    <t>BSC TI - Indicadores TI - ROI</t>
  </si>
  <si>
    <t>Perspectiva</t>
  </si>
  <si>
    <t xml:space="preserve">Indicador </t>
  </si>
  <si>
    <t xml:space="preserve">Fórmula </t>
  </si>
  <si>
    <t xml:space="preserve">Numerador </t>
  </si>
  <si>
    <t>Denominador</t>
  </si>
  <si>
    <t>Status</t>
  </si>
  <si>
    <t>Umbral</t>
  </si>
  <si>
    <t>Sector</t>
  </si>
  <si>
    <t>Año n-1</t>
  </si>
  <si>
    <t>Año n</t>
  </si>
  <si>
    <t>% Cumplimiento</t>
  </si>
  <si>
    <t>Financiero</t>
  </si>
  <si>
    <t>Aprendizaje y crecimiento</t>
  </si>
  <si>
    <t>PQR solucionadas</t>
  </si>
  <si>
    <t>Gerente Financiero</t>
  </si>
  <si>
    <t>Conocimiento Cliente</t>
  </si>
  <si>
    <t>Procesos Internos</t>
  </si>
  <si>
    <t>Ventas Virtuales</t>
  </si>
  <si>
    <t>ROI</t>
  </si>
  <si>
    <t>Interacciones página Web</t>
  </si>
  <si>
    <t>Utilidad Residual</t>
  </si>
  <si>
    <t>Margen Ganancias Virtuales</t>
  </si>
  <si>
    <t>ROE T.I</t>
  </si>
  <si>
    <t>Creación / Innovación de productos en Plat. Virtual</t>
  </si>
  <si>
    <t>Satisfacción Clientes productos creados</t>
  </si>
  <si>
    <t>Cobertura Gasto T.I</t>
  </si>
  <si>
    <t>Eficiencia de tiempo con Procesos de T.I</t>
  </si>
  <si>
    <t>Selección Digital de personal</t>
  </si>
  <si>
    <t>Crecimiento en Inversión de T.I</t>
  </si>
  <si>
    <t>BATIFRUIT´S S.A.S</t>
  </si>
  <si>
    <t>NIT. 900.532.395-4</t>
  </si>
  <si>
    <t>ESTADO INTEGRAL DE RESULTADOS COMPARATIVO</t>
  </si>
  <si>
    <t>CORRESPONDIENTES A LOS EJERCICIOS DEL 1 DE ENERO A 30 DE JUNIO Y 1 DE JULIO A 31 DE DICIEMBRE DE 2018</t>
  </si>
  <si>
    <t xml:space="preserve">CIFRAS EXPRESADAS EN MILES DE PESOS COLOMBIANOS </t>
  </si>
  <si>
    <t>Nota</t>
  </si>
  <si>
    <t>Diciembre 2018</t>
  </si>
  <si>
    <t>Junio 2018</t>
  </si>
  <si>
    <t>Var. Absoluta</t>
  </si>
  <si>
    <t>%</t>
  </si>
  <si>
    <t>Ingresos Operacionales</t>
  </si>
  <si>
    <t>Costo de Ventas</t>
  </si>
  <si>
    <t>Utilidad Bruta</t>
  </si>
  <si>
    <t>Gastos administrativos</t>
  </si>
  <si>
    <t>Gasto de ventas</t>
  </si>
  <si>
    <t>Ganancia por actividades de operación</t>
  </si>
  <si>
    <t>Gastos Financieros</t>
  </si>
  <si>
    <t>Ingresos Financieros</t>
  </si>
  <si>
    <t>Resultado antes de impuestos procedente de operaciones continuadas</t>
  </si>
  <si>
    <t>Gastos por impuestos sobre las ganancias</t>
  </si>
  <si>
    <t>Ganancia Neta del ejercicio</t>
  </si>
  <si>
    <t xml:space="preserve">                         Ferney Camilo Ramírez Hamón</t>
  </si>
  <si>
    <t>Camilo Andrés Torrado Fajardo</t>
  </si>
  <si>
    <t xml:space="preserve">                                Representante Legal</t>
  </si>
  <si>
    <t>Contador Público</t>
  </si>
  <si>
    <t>T.P 213115 - T</t>
  </si>
  <si>
    <t>ESTADO DE SITUACIÓN FINANCIERA COMPARATIVO</t>
  </si>
  <si>
    <t>AL 31 DE DICIEMBRE Y 30 DE JUNIO DE 2018</t>
  </si>
  <si>
    <t>Activo Corriente</t>
  </si>
  <si>
    <t>Efectivo y equivalentes al efectivo</t>
  </si>
  <si>
    <t>Inventarios</t>
  </si>
  <si>
    <t>Cuentas comerciales por cobrar y otras cuentas por cobrar</t>
  </si>
  <si>
    <t>Db</t>
  </si>
  <si>
    <t>Cr</t>
  </si>
  <si>
    <t>Activos diferidos</t>
  </si>
  <si>
    <t xml:space="preserve">ICA x Pagar </t>
  </si>
  <si>
    <t>Activos por impuestos</t>
  </si>
  <si>
    <t>ReteICA X Pagar</t>
  </si>
  <si>
    <t>Total Activo Corriente</t>
  </si>
  <si>
    <t>Anti. ReteICA</t>
  </si>
  <si>
    <t>ICA Estado</t>
  </si>
  <si>
    <t>Activo no Corriente</t>
  </si>
  <si>
    <t xml:space="preserve">Propiedades, planta y equipo </t>
  </si>
  <si>
    <t>Activos intangibles diferentes a la plusvalía</t>
  </si>
  <si>
    <t>Total Activo no Corriente</t>
  </si>
  <si>
    <t>TOTAL ACTIVO</t>
  </si>
  <si>
    <t>Pasivo Corriente</t>
  </si>
  <si>
    <t xml:space="preserve">Cuentas Comerciales por Pagar </t>
  </si>
  <si>
    <t>Obligaciones Financieras</t>
  </si>
  <si>
    <t>Obligaciones tributarias</t>
  </si>
  <si>
    <t>Obligaciones Laborales</t>
  </si>
  <si>
    <t>Total pasivo corriente</t>
  </si>
  <si>
    <t>Pasivo No Corriente</t>
  </si>
  <si>
    <t>Total pasivo No corriente</t>
  </si>
  <si>
    <t>TOTAL PASIVO</t>
  </si>
  <si>
    <t>Patrimonio Neto</t>
  </si>
  <si>
    <t>Capital Social</t>
  </si>
  <si>
    <t>Superávit de Capital</t>
  </si>
  <si>
    <t>Superávit por Valorizaciones</t>
  </si>
  <si>
    <t>Reservas</t>
  </si>
  <si>
    <t>Utilidad Acumulada</t>
  </si>
  <si>
    <t xml:space="preserve">Resultados del ejercicio </t>
  </si>
  <si>
    <t>TOTAL PATRIMONIO NETO</t>
  </si>
  <si>
    <t>TOTAL PASIVO + PATRIMONIO</t>
  </si>
  <si>
    <t>C.C.</t>
  </si>
  <si>
    <t>NOMBRE DEL EMPLEADO</t>
  </si>
  <si>
    <t>CARGO</t>
  </si>
  <si>
    <t>Ferney Camilo Ramirez Hamón</t>
  </si>
  <si>
    <t>Gerente General</t>
  </si>
  <si>
    <t>Oscar Jovanny Romero Huertas</t>
  </si>
  <si>
    <t>Gerente Administrativo</t>
  </si>
  <si>
    <t>Daian Alexandra Guerrero Galindo</t>
  </si>
  <si>
    <t>Gerente de Talento Humano</t>
  </si>
  <si>
    <t>Daniel Felipe Bohórquez Vesga</t>
  </si>
  <si>
    <t xml:space="preserve">Juan Pablo Montoya García </t>
  </si>
  <si>
    <t>Servicios Generales</t>
  </si>
  <si>
    <t>Maria Alejandra Sepúlveda Veléz</t>
  </si>
  <si>
    <t>Bibiana Marcela Sora Tibatá</t>
  </si>
  <si>
    <t>Gerente de ventas</t>
  </si>
  <si>
    <t>Juan David Rodolfo Castañeda</t>
  </si>
  <si>
    <t>Director marketing</t>
  </si>
  <si>
    <t>Felipe Andrés Farfan Gonzáles</t>
  </si>
  <si>
    <t>Auxiliar de ventas</t>
  </si>
  <si>
    <t xml:space="preserve">Carlos Andrés Ramírez Ramírez </t>
  </si>
  <si>
    <t>Conductor vehículo</t>
  </si>
  <si>
    <t>Diana Andrea Sánchez Linares</t>
  </si>
  <si>
    <t>Operario de Malteadora Industrial</t>
  </si>
  <si>
    <t>Juan Sebastian Vásquez Páez</t>
  </si>
  <si>
    <t>Juan Camilo Fonseca Pérez</t>
  </si>
  <si>
    <t>Operario Licuadora Industrial</t>
  </si>
  <si>
    <t xml:space="preserve">Andrew Paul Castillo </t>
  </si>
  <si>
    <t>José Arturo Hernández Sanchez</t>
  </si>
  <si>
    <t>Operario máquina dispensadora</t>
  </si>
  <si>
    <t>Juan Gerney López Castro</t>
  </si>
  <si>
    <t>Alexander Hazard Beltran</t>
  </si>
  <si>
    <t>Operario de Selladora</t>
  </si>
  <si>
    <t>Rosa Linda Gonzales Ramos</t>
  </si>
  <si>
    <t>Operario de Etiquetadora</t>
  </si>
  <si>
    <t>Viviana Yaneth Sierra Rojas</t>
  </si>
  <si>
    <t>David Andres  Ramírez Ocampo</t>
  </si>
  <si>
    <t>Personal de seguridad</t>
  </si>
  <si>
    <t>Ángela Valeria Ochoa Larrota</t>
  </si>
  <si>
    <t xml:space="preserve">Gerente de Producción </t>
  </si>
  <si>
    <t>Juan Gabriel García Marquez</t>
  </si>
  <si>
    <t>Supervisor de Producción</t>
  </si>
  <si>
    <t>Michael Jordan Benitez Ramírez</t>
  </si>
  <si>
    <t>Almacenista de mercancia y materia prima</t>
  </si>
  <si>
    <t>Juan Daniel Rodrigo Lara</t>
  </si>
  <si>
    <t>OBSERVACIONES</t>
  </si>
  <si>
    <t>APROBADO</t>
  </si>
  <si>
    <t>CONTABILIZADO</t>
  </si>
  <si>
    <t>RECOMENDACIONES</t>
  </si>
  <si>
    <t>Impacto</t>
  </si>
  <si>
    <t>PROBABILIDAD</t>
  </si>
  <si>
    <t>Puntaje</t>
  </si>
  <si>
    <t>Prioridad</t>
  </si>
  <si>
    <t>Estrategia</t>
  </si>
  <si>
    <t>MUY BAJA</t>
  </si>
  <si>
    <t>1 a 2</t>
  </si>
  <si>
    <t>Muy Bajo</t>
  </si>
  <si>
    <t>Aceptar</t>
  </si>
  <si>
    <t>BAJA</t>
  </si>
  <si>
    <t>3 a 4</t>
  </si>
  <si>
    <t>Baja</t>
  </si>
  <si>
    <t>Anular</t>
  </si>
  <si>
    <t>MEDIA</t>
  </si>
  <si>
    <t>5 a 12</t>
  </si>
  <si>
    <t>Media</t>
  </si>
  <si>
    <t>Reducir</t>
  </si>
  <si>
    <t>MEDIA ALTA</t>
  </si>
  <si>
    <t>13 a 19</t>
  </si>
  <si>
    <t>Alta</t>
  </si>
  <si>
    <t>Compartir</t>
  </si>
  <si>
    <t>ALTA</t>
  </si>
  <si>
    <t>20 a 25</t>
  </si>
  <si>
    <t>Muy Alta</t>
  </si>
  <si>
    <t>Evitar</t>
  </si>
  <si>
    <t>PROCESO</t>
  </si>
  <si>
    <t>NOMBRE DEL RIESGO</t>
  </si>
  <si>
    <t>DESCRIPCIÓN</t>
  </si>
  <si>
    <t>IMPACTO</t>
  </si>
  <si>
    <t>CONTROL</t>
  </si>
  <si>
    <t>NUEVA PROBABILIDAD</t>
  </si>
  <si>
    <t>NUEVO IMPACTO</t>
  </si>
  <si>
    <t>RIESGO RESIDUAL</t>
  </si>
  <si>
    <t>FINANCIERO</t>
  </si>
  <si>
    <t>VENTAS</t>
  </si>
  <si>
    <t>INCUMPLIMIENTO EN
LA PROYECCIÓN DE 
LAS VENTAS</t>
  </si>
  <si>
    <t>Probabilidad de que 
no se alcancen las 
metas de ventas de 
batidos en el mes, por 
factores que pueda 
presentar el mercado, como
por ejemplo, la hiperinflación.</t>
  </si>
  <si>
    <t>MUY ALTO</t>
  </si>
  <si>
    <t>Realizar chequeos mensuales en los que se informe sobre la situacion actual del mercado para encontrar nuevas estrategias de ventas de acuerdo a la situacion que se presente.</t>
  </si>
  <si>
    <t>MEDIO</t>
  </si>
  <si>
    <t>Probabilidad de no realizar los informes de manera oportuna</t>
  </si>
  <si>
    <t>CUENTAS POR COBRAR</t>
  </si>
  <si>
    <t>NO PAGO POR PARTE
DE LOS CLIENTES</t>
  </si>
  <si>
    <t>Probabilidad de que los clientes a los cuales se les vende a crédito no paguen en la fecha establecida, generando retrasos e insuficiencias en los flujos de efectivo.</t>
  </si>
  <si>
    <t>ALTO</t>
  </si>
  <si>
    <t xml:space="preserve">Contar con un adecuado sistema de recaudos en el que se cobre a los clientes de manera oportuna </t>
  </si>
  <si>
    <t>Probabilidad de que el sistema de recaudo cuente con deficencias y no realice el recaudo a todos los clientes.</t>
  </si>
  <si>
    <t>OPERATIVO</t>
  </si>
  <si>
    <t>INCUMPLIMIENTO EN
LA PROYECCIÓN DE UNIDADES PRODUCIDAS</t>
  </si>
  <si>
    <t>Probabilidad de que las 
unidades a producir al mes de los batidos no se alcancen por alguna
insuficiencia en el procedimiento</t>
  </si>
  <si>
    <t>Verificar el cruce entre la capacidad de producción y la demanda estimada de batidos durante un período determinado.</t>
  </si>
  <si>
    <t>Probabilidad de que la demanda estimada este mal calculada</t>
  </si>
  <si>
    <t>PROYECTOS DE DECISIÓN DE INVERSIÓN MAL EVALUADOS</t>
  </si>
  <si>
    <t>Probabilidad de que al momento de llevar un proyecto, como por ejemplo, compra de PPyE, en este no se evaluen los aspectos más relevantes de manera adecuada, lo que causa pérdidas futuras.</t>
  </si>
  <si>
    <t>Análizar la viabilidad de los proyectos en cuanto a la relación costo - beneficio previamente a la ejecución de estos, mediante indicadores de decisión de inversión que nos plantee los beneficios futuros.</t>
  </si>
  <si>
    <t>Probabilidad de que no se realice una adecuada evalucion de proyectos en donde se tengan en cuenta todos los posibles factores y sucesos futuros.</t>
  </si>
  <si>
    <t>CORRUPCIÓN</t>
  </si>
  <si>
    <t>ASIENTOS CONTABLES
MAL REGISTRADOS
INTENCIONALMENTE</t>
  </si>
  <si>
    <t>Probabilidad de que la
persona encargada de 
registrar los hechos
económicos de la entidad,
los elabore de manera 
errónea con intención, 
reflejando otra realidad
de la empresa</t>
  </si>
  <si>
    <t>MUY
BAJA</t>
  </si>
  <si>
    <t>Realizar un correcto procesos de seleccion en donde se contraten personas que reflejen la ética de la compañia</t>
  </si>
  <si>
    <t>Probabilidad de que no se haga un correcto filtro en los procesos de seleccion de personal.</t>
  </si>
  <si>
    <t>ENTRADA DE DINERO
PROVENIENTE DE 
ACTIVIDADES ILEGALES</t>
  </si>
  <si>
    <t>Probabilidad de que en el arqueo de caja menor se encuentre un sobrante de dinero, del que se desconozca su orígen.</t>
  </si>
  <si>
    <t>Probabilidad de que no se encuentren la totalidad de los soportes</t>
  </si>
  <si>
    <t>LAVADO DE ACTIVOS Y
FINANCIACIÓN AL
TERRORISMO</t>
  </si>
  <si>
    <t>DESARROLLO DE 
ACTVIDADES ILÍCITAS EN LA GERENCIA</t>
  </si>
  <si>
    <t xml:space="preserve">Probabilidad de que las gerencias lleven a cabo actividades ilicitas, desviando el objeto social de la compañía. </t>
  </si>
  <si>
    <t>Llevar control mensual de las operaciones de las gerencias por personal externo a la compañia</t>
  </si>
  <si>
    <t>Probabilidad de que los controles se realicen de manera deficiente.</t>
  </si>
  <si>
    <t>COMPRA DE MATERIA PRIMA A UNA EMPRESA FANTASMA O SOCIEDAD EN RESERVA</t>
  </si>
  <si>
    <t>Probabilidad de que el proveedor al que se le compran materias primas sea una empresa que este blanqueando sus actividades, y que si llegase a ser descubierta podría involucrarnos como compañía.</t>
  </si>
  <si>
    <t>Realizar estudios de mercado a compradores y vendedores que tenga relacion directa con las operaciones de la empresa.</t>
  </si>
  <si>
    <t>Probabilidad de que se omita el estudio de mercado.</t>
  </si>
  <si>
    <t>SOBORNO</t>
  </si>
  <si>
    <t>ADMINISTRATIVO</t>
  </si>
  <si>
    <t xml:space="preserve"> MANEJO DE 
INFORMACIÓN
CONFIDENCIAL</t>
  </si>
  <si>
    <t>Probabilidad de que la información confidencial sea revelada por coimas ofrecidas a los empleados.</t>
  </si>
  <si>
    <t>Consignar cláusulas referentes a la confidencialidad de información en los contratos del personal  que llevará a cabo el manejo de esta estableciendo sanciones por incumplimiento de dichas cláusulas</t>
  </si>
  <si>
    <t>Probabilidad de que los empleados no esten informados sobre las sanciones</t>
  </si>
  <si>
    <t xml:space="preserve"> REVELAR INFORMACION</t>
  </si>
  <si>
    <t xml:space="preserve">
Probabilidad de que se ofrezcan dineros adyacentes al salario a gerentes para que revelen informacion sobre estrategias de ventas.</t>
  </si>
  <si>
    <t>Crear sentido de pertenencia en cada uno de los empleados incluidos los gerentes para que no revelen informacion confidencial.</t>
  </si>
  <si>
    <t>Probabilidad de que los gerentes tengan relacionados conflictos de interes al realizar este tipo de negociaciones</t>
  </si>
  <si>
    <t>REPUTACIONAL</t>
  </si>
  <si>
    <t>BAJOS ESTANDARES DE CALIDAD EN LOS PRODUCTOS</t>
  </si>
  <si>
    <t>Probabilidad de que los productos no cumplan con los estandares de calidad estipulados por la compañía y se generen rumores sobre estos.</t>
  </si>
  <si>
    <t>Implementar puntos de control de calidad en cada proceso productivo de la compañía</t>
  </si>
  <si>
    <t>Probabilidad de que los operarios omitan alguno de los controles productivos</t>
  </si>
  <si>
    <t>GOOD WILL</t>
  </si>
  <si>
    <t>Probabilidad de que se creen rumores sobre la etica de la compañia generando mal nombre a esta y un desprestigio a la misma.</t>
  </si>
  <si>
    <t>Probabilidad de que los empleados no se sientan escuchados por las gerencias</t>
  </si>
  <si>
    <t>LEGAL</t>
  </si>
  <si>
    <t>CONTABLE</t>
  </si>
  <si>
    <t>IMPUESTOS NO DECLARADOS</t>
  </si>
  <si>
    <t>Probabilidad de que los impuestos no sean declarados en las fechas establecidas por la ley generando sanciones monetarias.</t>
  </si>
  <si>
    <t>Seguimiento constante de las declaraciones a realizar, previamente a que estas se lleven a cabo ante la dirección de impuestos</t>
  </si>
  <si>
    <t>Probabilidad de que no se realice el seguimiento de las declaraciones a tiempo</t>
  </si>
  <si>
    <t>INFORMACION FINANCIERA MAL PRESENTADA</t>
  </si>
  <si>
    <t>Probabilidad de que la informacion financiera no se este presentando bajo los parametros exigidos por la ley colombiana e internacional, que causaría sanciones y un mal manejo en la toma de decisiones a futuro por parte de las gerencias.</t>
  </si>
  <si>
    <t>Adquirir sistemas contables que permitan generar información contable bajo los parámetros y disposiciones de la normatividad colombiana e internacional</t>
  </si>
  <si>
    <t>Probabilidad de errores humanos al registrar la contabilidad en el sistema contable.</t>
  </si>
  <si>
    <t>GOING CONCERN</t>
  </si>
  <si>
    <t>FLUJOS DE CAJA 
NEGATIVOS</t>
  </si>
  <si>
    <t>Revisar los indicadores de eficiencia, liquidez, rentabilidad y apalancamiento de la empresa antes de adquirir inversiones y préstamos y detreminar el posible impacto sobre los estados financieros</t>
  </si>
  <si>
    <t>Probabilidad de no revisar de manera oportuna los indicadores.</t>
  </si>
  <si>
    <t>Realizar reuniones periódocas donde se presente a los inversionestas las estrategias que se llevarán a cabo para mejorar la eficiencia, liquidez y rentabilidad de la compañía a corto plazo</t>
  </si>
  <si>
    <t>Probabilidad de que los inversionistas no esten conformes con las estrategias.</t>
  </si>
  <si>
    <t>CONTAGIO</t>
  </si>
  <si>
    <t>MERCADEO</t>
  </si>
  <si>
    <t>NUEVO PRODUCTO</t>
  </si>
  <si>
    <t>Probabilidad de que el sector de batidos tenga una caida en el mercado por la insercion de un nuevo producto con caracteristicas que los consumidores consideren mejores en el mismo</t>
  </si>
  <si>
    <t>Realizar estrategias de benchmarking con el fin de adelantarnos a posibles tendencias de consumo</t>
  </si>
  <si>
    <t>Probabilidad de que los consumidores no actuen de la manera esperada</t>
  </si>
  <si>
    <t>VIOLAR LA LIBRE COMPETENCIA</t>
  </si>
  <si>
    <t>COLUSIÓN ENTRE 
LAS EMPRESAS DE LA INDUSTRIA DE BATIDOS</t>
  </si>
  <si>
    <t>Probabilidad de que las empresas del sector decidan controlar los precios del mercado.</t>
  </si>
  <si>
    <t>Presentar ante la DIAN irregularidades que se encuentren en el sector para una posterior investigacion</t>
  </si>
  <si>
    <t>Probabilidad de no presentar las irregularidades a tiempo</t>
  </si>
  <si>
    <t>CONTROL DE PRECIOS</t>
  </si>
  <si>
    <t>Probabilidad de que personal de la compañia se vea involucrado en situaciones en las que se controle el precio de los productos</t>
  </si>
  <si>
    <t>Revisión oportuna de las facturas de venta antes de que sean transferidos los productos a los clientes</t>
  </si>
  <si>
    <t>Probabilidad de no revisar todas las facturas entregadas a los clientes</t>
  </si>
  <si>
    <t>CATEGORÍA</t>
  </si>
  <si>
    <t>COD</t>
  </si>
  <si>
    <t>AUTOMATICOS</t>
  </si>
  <si>
    <t>MANUALES</t>
  </si>
  <si>
    <t>a</t>
  </si>
  <si>
    <t>PRODUCCIÓN</t>
  </si>
  <si>
    <t>CONTABILIDAD</t>
  </si>
  <si>
    <t>CAJA MENOR</t>
  </si>
  <si>
    <t>Realizar cruces de extractos y registros contables de las transacciones del mes</t>
  </si>
  <si>
    <t xml:space="preserve">ADMINISTRATIVO </t>
  </si>
  <si>
    <t>COMPRAS</t>
  </si>
  <si>
    <t>Contar con un clima organizacional ameno en el que cada uno de los empleados este informado de la situacion presente de la empresa</t>
  </si>
  <si>
    <t>Probabilidad de que la compañía presente en un período flujos de caja negativos por decisiones de la gerencia que hayan afectado de manera negativa, como por ejemplo inversiones inoadecuadas o préstamos complejos de pagar.</t>
  </si>
  <si>
    <t>PÉRDIDA DE PARTICIPACIÓN DE LOS ACCIONISTAS</t>
  </si>
  <si>
    <t>Probabilidad de que los accionistas decidan retirar su participación en la compañía ocasionando ineficiencias o inconformidades administrativas con los nuevos inversores</t>
  </si>
  <si>
    <t>Recaudo por medio Digitales</t>
  </si>
  <si>
    <t>Teniendo en cuenta que Batifruit´s es una empresa joven en el mercado, debe enfocar sus esfuerzos en la automatización y tecnificación de procesos tanto misionales como internos que ayuden  al crecimiento de sus colaboradores y el de la compañía. Para ello se plantea las siguientes acciones a tener en cuenta para aumentar el cumplimiento de los indicadores anteriormente mencionados:
- Implementación y mejora de plataformas virtuales que ayuden al aumento de las ventas y comunicación con clientes.
- Aumento de inversión en medios digitales y servicios tecnologicos.
- Inversión en plataformas de aprendizaje.
- Incorporación de sistemas de control y seguimiento en el tratamoento de información.</t>
  </si>
  <si>
    <t xml:space="preserve">Cifras Expresadas en Miles de Pesos Colombianos </t>
  </si>
  <si>
    <t>Eficiencia en la soluciones de Fallas de hardware</t>
  </si>
  <si>
    <t>Tiempo de formación en T.I mensual</t>
  </si>
  <si>
    <t>Número de capacitaciones realizadas en línea anual</t>
  </si>
  <si>
    <t>Gasto medio de formación por empleado anual</t>
  </si>
  <si>
    <t>Número de horas que permanecemos Offline Mensual</t>
  </si>
  <si>
    <t>Controles Automáticas en el Sistema General de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</si>
</sst>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2" formatCode="_-&quot;$&quot;\ * #,##0_-;\-&quot;$&quot;\ * #,##0_-;_-&quot;$&quot;\ * &quot;-&quot;_-;_-@_-"/>
    <numFmt numFmtId="41" formatCode="_-* #,##0_-;\-* #,##0_-;_-* &quot;-&quot;_-;_-@_-"/>
    <numFmt numFmtId="164" formatCode="_-&quot;$&quot;* #,##0_-;\-&quot;$&quot;* #,##0_-;_-&quot;$&quot;* &quot;-&quot;??_-;_-@_-"/>
    <numFmt numFmtId="165" formatCode="_-&quot;$&quot;* #,##0.00_-;\-&quot;$&quot;* #,##0.00_-;_-&quot;$&quot;* &quot;-&quot;??_-;_-@_-"/>
    <numFmt numFmtId="166" formatCode="_-&quot;$&quot;* #,##0_-;\-&quot;$&quot;* #,##0_-;_-&quot;$&quot;* &quot;-&quot;_-;_-@_-"/>
    <numFmt numFmtId="167" formatCode="_-* #,##0_-;\-* #,##0_-;_-* &quot;-&quot;??_-;_-@_-"/>
    <numFmt numFmtId="168" formatCode="0.0%"/>
  </numFmts>
  <fonts count="25" x14ac:knownFonts="1">
    <font>
      <sz val="11"/>
      <color theme="1"/>
      <name val="Calibri"/>
      <family val="2"/>
      <scheme val="minor"/>
    </font>
    <font>
      <b/>
      <sz val="11"/>
      <color theme="1"/>
      <name val="Calibri"/>
      <family val="2"/>
      <scheme val="minor"/>
    </font>
    <font>
      <b/>
      <sz val="20"/>
      <color theme="0"/>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u/>
      <sz val="11"/>
      <color theme="1"/>
      <name val="Calibri"/>
      <family val="2"/>
      <scheme val="minor"/>
    </font>
    <font>
      <b/>
      <sz val="11"/>
      <name val="Calibri"/>
      <family val="2"/>
      <scheme val="minor"/>
    </font>
    <font>
      <u val="singleAccounting"/>
      <sz val="11"/>
      <color theme="1"/>
      <name val="Calibri"/>
      <family val="2"/>
      <scheme val="minor"/>
    </font>
    <font>
      <b/>
      <u val="singleAccounting"/>
      <sz val="11"/>
      <color theme="1"/>
      <name val="Calibri"/>
      <family val="2"/>
      <scheme val="minor"/>
    </font>
    <font>
      <sz val="11"/>
      <color theme="9" tint="-0.499984740745262"/>
      <name val="Calibri"/>
      <family val="2"/>
      <scheme val="minor"/>
    </font>
    <font>
      <sz val="10"/>
      <name val="Arial"/>
      <family val="2"/>
    </font>
    <font>
      <b/>
      <sz val="10"/>
      <name val="Arial"/>
      <family val="2"/>
    </font>
    <font>
      <b/>
      <sz val="9"/>
      <name val="Arial"/>
      <family val="2"/>
    </font>
    <font>
      <sz val="9"/>
      <name val="Arial"/>
      <family val="2"/>
    </font>
    <font>
      <sz val="8"/>
      <name val="Arial"/>
      <family val="2"/>
    </font>
    <font>
      <b/>
      <sz val="8"/>
      <name val="Arial"/>
      <family val="2"/>
    </font>
    <font>
      <i/>
      <sz val="9"/>
      <name val="Arial"/>
      <family val="2"/>
    </font>
    <font>
      <sz val="12"/>
      <color theme="1"/>
      <name val="Calibri"/>
      <family val="2"/>
      <scheme val="minor"/>
    </font>
    <font>
      <b/>
      <sz val="11"/>
      <color rgb="FF000000"/>
      <name val="Calibri"/>
      <family val="2"/>
      <scheme val="minor"/>
    </font>
    <font>
      <sz val="11"/>
      <color rgb="FF000000"/>
      <name val="Calibri"/>
      <family val="2"/>
      <scheme val="minor"/>
    </font>
    <font>
      <sz val="20"/>
      <color rgb="FFFF0000"/>
      <name val="Webdings"/>
      <family val="1"/>
      <charset val="2"/>
    </font>
    <font>
      <sz val="16"/>
      <color rgb="FFFF0000"/>
      <name val="Webdings"/>
      <family val="1"/>
      <charset val="2"/>
    </font>
    <font>
      <b/>
      <i/>
      <sz val="12"/>
      <color theme="1"/>
      <name val="Calibri"/>
      <family val="2"/>
      <scheme val="minor"/>
    </font>
  </fonts>
  <fills count="13">
    <fill>
      <patternFill patternType="none"/>
    </fill>
    <fill>
      <patternFill patternType="gray125"/>
    </fill>
    <fill>
      <patternFill patternType="solid">
        <fgColor theme="4"/>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theme="0" tint="-4.9989318521683403E-2"/>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rgb="FF505050"/>
      </left>
      <right style="thin">
        <color rgb="FF505050"/>
      </right>
      <top style="thin">
        <color rgb="FF505050"/>
      </top>
      <bottom style="thin">
        <color rgb="FF505050"/>
      </bottom>
      <diagonal/>
    </border>
    <border>
      <left style="thin">
        <color rgb="FF505050"/>
      </left>
      <right style="thin">
        <color rgb="FF505050"/>
      </right>
      <top style="thin">
        <color rgb="FF505050"/>
      </top>
      <bottom style="thin">
        <color rgb="FF505050"/>
      </bottom>
      <diagonal/>
    </border>
    <border>
      <left style="thin">
        <color indexed="64"/>
      </left>
      <right/>
      <top style="thin">
        <color indexed="64"/>
      </top>
      <bottom style="medium">
        <color indexed="64"/>
      </bottom>
      <diagonal/>
    </border>
    <border>
      <left style="medium">
        <color rgb="FF505050"/>
      </left>
      <right style="thin">
        <color rgb="FF505050"/>
      </right>
      <top style="medium">
        <color indexed="64"/>
      </top>
      <bottom style="thin">
        <color rgb="FF505050"/>
      </bottom>
      <diagonal/>
    </border>
    <border>
      <left/>
      <right style="thin">
        <color rgb="FF505050"/>
      </right>
      <top style="medium">
        <color indexed="64"/>
      </top>
      <bottom style="thin">
        <color rgb="FF505050"/>
      </bottom>
      <diagonal/>
    </border>
    <border>
      <left style="thin">
        <color rgb="FF505050"/>
      </left>
      <right style="thin">
        <color rgb="FF505050"/>
      </right>
      <top style="medium">
        <color indexed="64"/>
      </top>
      <bottom style="thin">
        <color rgb="FF505050"/>
      </bottom>
      <diagonal/>
    </border>
    <border>
      <left style="thin">
        <color rgb="FF505050"/>
      </left>
      <right style="medium">
        <color indexed="64"/>
      </right>
      <top style="medium">
        <color indexed="64"/>
      </top>
      <bottom style="thin">
        <color rgb="FF505050"/>
      </bottom>
      <diagonal/>
    </border>
    <border>
      <left/>
      <right style="medium">
        <color rgb="FF505050"/>
      </right>
      <top style="medium">
        <color rgb="FF505050"/>
      </top>
      <bottom style="thin">
        <color rgb="FF505050"/>
      </bottom>
      <diagonal/>
    </border>
    <border>
      <left/>
      <right style="thin">
        <color rgb="FF505050"/>
      </right>
      <top style="thin">
        <color rgb="FF505050"/>
      </top>
      <bottom style="thin">
        <color rgb="FF505050"/>
      </bottom>
      <diagonal/>
    </border>
    <border>
      <left style="thin">
        <color rgb="FF505050"/>
      </left>
      <right style="medium">
        <color indexed="64"/>
      </right>
      <top style="thin">
        <color rgb="FF505050"/>
      </top>
      <bottom style="thin">
        <color rgb="FF505050"/>
      </bottom>
      <diagonal/>
    </border>
    <border>
      <left/>
      <right style="medium">
        <color rgb="FF505050"/>
      </right>
      <top style="thin">
        <color rgb="FF505050"/>
      </top>
      <bottom style="thin">
        <color rgb="FF505050"/>
      </bottom>
      <diagonal/>
    </border>
    <border>
      <left style="medium">
        <color rgb="FF505050"/>
      </left>
      <right style="thin">
        <color rgb="FF505050"/>
      </right>
      <top style="thin">
        <color rgb="FF505050"/>
      </top>
      <bottom style="medium">
        <color indexed="64"/>
      </bottom>
      <diagonal/>
    </border>
    <border>
      <left style="thin">
        <color rgb="FF505050"/>
      </left>
      <right style="thin">
        <color rgb="FF505050"/>
      </right>
      <top style="thin">
        <color rgb="FF505050"/>
      </top>
      <bottom style="medium">
        <color indexed="64"/>
      </bottom>
      <diagonal/>
    </border>
    <border>
      <left style="thin">
        <color rgb="FF505050"/>
      </left>
      <right style="medium">
        <color indexed="64"/>
      </right>
      <top style="thin">
        <color rgb="FF505050"/>
      </top>
      <bottom style="medium">
        <color indexed="64"/>
      </bottom>
      <diagonal/>
    </border>
    <border>
      <left/>
      <right style="medium">
        <color rgb="FF505050"/>
      </right>
      <top style="thin">
        <color rgb="FF505050"/>
      </top>
      <bottom style="medium">
        <color rgb="FF505050"/>
      </bottom>
      <diagonal/>
    </border>
  </borders>
  <cellStyleXfs count="8">
    <xf numFmtId="0" fontId="0" fillId="0" borderId="0"/>
    <xf numFmtId="41"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12" fillId="0" borderId="0"/>
    <xf numFmtId="9" fontId="12" fillId="0" borderId="0" applyFont="0" applyFill="0" applyBorder="0" applyAlignment="0" applyProtection="0"/>
  </cellStyleXfs>
  <cellXfs count="234">
    <xf numFmtId="0" fontId="0" fillId="0" borderId="0" xfId="0"/>
    <xf numFmtId="0" fontId="0" fillId="0" borderId="0" xfId="0" applyAlignment="1">
      <alignment horizontal="center"/>
    </xf>
    <xf numFmtId="0" fontId="0" fillId="0" borderId="4" xfId="0" applyBorder="1" applyAlignment="1">
      <alignment horizontal="left" vertical="center" wrapText="1"/>
    </xf>
    <xf numFmtId="0" fontId="0" fillId="0" borderId="4" xfId="0" applyBorder="1"/>
    <xf numFmtId="0" fontId="0" fillId="0" borderId="5" xfId="0" applyBorder="1"/>
    <xf numFmtId="0" fontId="0" fillId="0" borderId="0" xfId="0" applyBorder="1"/>
    <xf numFmtId="0" fontId="0" fillId="0" borderId="6" xfId="0" applyBorder="1"/>
    <xf numFmtId="0" fontId="0" fillId="0" borderId="8" xfId="0" applyBorder="1"/>
    <xf numFmtId="0" fontId="0" fillId="0" borderId="10" xfId="0" applyBorder="1" applyAlignment="1">
      <alignment horizontal="left" vertical="center" wrapText="1"/>
    </xf>
    <xf numFmtId="0" fontId="0" fillId="0" borderId="10" xfId="0" applyBorder="1"/>
    <xf numFmtId="0" fontId="0" fillId="0" borderId="11" xfId="0" applyBorder="1"/>
    <xf numFmtId="0" fontId="5" fillId="0" borderId="0" xfId="0" applyFont="1"/>
    <xf numFmtId="0" fontId="4" fillId="0" borderId="0" xfId="0" applyFont="1"/>
    <xf numFmtId="9" fontId="0" fillId="0" borderId="0" xfId="3" applyFont="1"/>
    <xf numFmtId="9" fontId="0" fillId="0" borderId="0" xfId="3" applyFont="1" applyAlignment="1">
      <alignment horizontal="center" vertical="center"/>
    </xf>
    <xf numFmtId="9" fontId="6" fillId="0" borderId="0" xfId="3" applyFont="1" applyAlignment="1">
      <alignment horizontal="center" vertical="center"/>
    </xf>
    <xf numFmtId="164" fontId="0" fillId="0" borderId="0" xfId="0" applyNumberFormat="1"/>
    <xf numFmtId="17" fontId="0" fillId="0" borderId="0" xfId="0" applyNumberFormat="1"/>
    <xf numFmtId="17" fontId="4" fillId="0" borderId="0" xfId="0" applyNumberFormat="1" applyFont="1"/>
    <xf numFmtId="0" fontId="1" fillId="0" borderId="0" xfId="0" applyFont="1"/>
    <xf numFmtId="0" fontId="1" fillId="0" borderId="0" xfId="0" applyFont="1" applyAlignment="1">
      <alignment horizontal="center"/>
    </xf>
    <xf numFmtId="0" fontId="7" fillId="0" borderId="0" xfId="0" quotePrefix="1" applyFont="1" applyAlignment="1">
      <alignment horizontal="center"/>
    </xf>
    <xf numFmtId="9" fontId="7" fillId="0" borderId="0" xfId="3" quotePrefix="1" applyFont="1" applyAlignment="1">
      <alignment horizontal="center"/>
    </xf>
    <xf numFmtId="9" fontId="7" fillId="0" borderId="0" xfId="3" quotePrefix="1" applyFont="1" applyAlignment="1">
      <alignment horizontal="center" vertical="center"/>
    </xf>
    <xf numFmtId="9" fontId="8" fillId="0" borderId="0" xfId="3" quotePrefix="1" applyFont="1" applyAlignment="1">
      <alignment horizontal="center" vertical="center"/>
    </xf>
    <xf numFmtId="164" fontId="4" fillId="0" borderId="0" xfId="0" applyNumberFormat="1" applyFont="1"/>
    <xf numFmtId="0" fontId="0" fillId="0" borderId="0" xfId="0" applyAlignment="1">
      <alignment horizontal="center" vertical="center"/>
    </xf>
    <xf numFmtId="164" fontId="0" fillId="0" borderId="0" xfId="4" applyNumberFormat="1" applyFont="1"/>
    <xf numFmtId="9" fontId="0" fillId="4" borderId="0" xfId="3" applyFont="1" applyFill="1" applyAlignment="1">
      <alignment horizontal="center" vertical="center"/>
    </xf>
    <xf numFmtId="164" fontId="6" fillId="5" borderId="0" xfId="3" applyNumberFormat="1" applyFont="1" applyFill="1" applyAlignment="1">
      <alignment horizontal="center" vertical="center"/>
    </xf>
    <xf numFmtId="9" fontId="6" fillId="5" borderId="0" xfId="3" applyFont="1" applyFill="1" applyAlignment="1">
      <alignment horizontal="center" vertical="center"/>
    </xf>
    <xf numFmtId="166" fontId="5" fillId="0" borderId="0" xfId="5" applyFont="1"/>
    <xf numFmtId="9" fontId="4" fillId="0" borderId="0" xfId="0" applyNumberFormat="1" applyFont="1"/>
    <xf numFmtId="9" fontId="4" fillId="0" borderId="0" xfId="3" applyFont="1"/>
    <xf numFmtId="164" fontId="9" fillId="0" borderId="0" xfId="4" applyNumberFormat="1" applyFont="1"/>
    <xf numFmtId="9" fontId="3" fillId="0" borderId="0" xfId="3" applyAlignment="1">
      <alignment horizontal="center" vertical="center"/>
    </xf>
    <xf numFmtId="10" fontId="3" fillId="4" borderId="0" xfId="3" applyNumberFormat="1" applyFill="1" applyAlignment="1">
      <alignment horizontal="center" vertical="center"/>
    </xf>
    <xf numFmtId="164" fontId="1" fillId="0" borderId="0" xfId="4" applyNumberFormat="1" applyFont="1"/>
    <xf numFmtId="9" fontId="10" fillId="0" borderId="0" xfId="3" applyFont="1" applyAlignment="1">
      <alignment horizontal="center" vertical="center"/>
    </xf>
    <xf numFmtId="10" fontId="10" fillId="4" borderId="0" xfId="3" applyNumberFormat="1" applyFont="1" applyFill="1" applyAlignment="1">
      <alignment horizontal="center" vertical="center"/>
    </xf>
    <xf numFmtId="166" fontId="6" fillId="0" borderId="0" xfId="5" applyFont="1"/>
    <xf numFmtId="9" fontId="8" fillId="0" borderId="0" xfId="3" applyFont="1" applyAlignment="1">
      <alignment horizontal="center" vertical="center"/>
    </xf>
    <xf numFmtId="10" fontId="8" fillId="4" borderId="0" xfId="3" applyNumberFormat="1" applyFont="1" applyFill="1" applyAlignment="1">
      <alignment horizontal="center" vertical="center"/>
    </xf>
    <xf numFmtId="0" fontId="1" fillId="0" borderId="0" xfId="0" applyFont="1" applyAlignment="1">
      <alignment horizontal="left" wrapText="1"/>
    </xf>
    <xf numFmtId="164" fontId="1" fillId="0" borderId="0" xfId="4" applyNumberFormat="1" applyFont="1" applyAlignment="1">
      <alignment horizontal="center" vertical="center"/>
    </xf>
    <xf numFmtId="9" fontId="1" fillId="0" borderId="0" xfId="3" applyFont="1" applyAlignment="1">
      <alignment horizontal="center" vertical="center"/>
    </xf>
    <xf numFmtId="0" fontId="11" fillId="0" borderId="0" xfId="0" applyFont="1"/>
    <xf numFmtId="0" fontId="1" fillId="0" borderId="0" xfId="0" applyFont="1" applyAlignment="1">
      <alignment horizontal="center" vertical="center"/>
    </xf>
    <xf numFmtId="164" fontId="0" fillId="0" borderId="0" xfId="4" applyNumberFormat="1" applyFont="1" applyAlignment="1">
      <alignment horizontal="center"/>
    </xf>
    <xf numFmtId="9" fontId="0" fillId="0" borderId="0" xfId="3" applyFont="1" applyAlignment="1">
      <alignment horizontal="center"/>
    </xf>
    <xf numFmtId="164" fontId="3" fillId="0" borderId="0" xfId="4" applyNumberFormat="1" applyAlignment="1">
      <alignment horizontal="center"/>
    </xf>
    <xf numFmtId="0" fontId="0" fillId="4" borderId="0" xfId="0" applyFill="1"/>
    <xf numFmtId="166" fontId="0" fillId="0" borderId="0" xfId="5" applyFont="1"/>
    <xf numFmtId="167" fontId="0" fillId="4" borderId="0" xfId="0" applyNumberFormat="1" applyFill="1"/>
    <xf numFmtId="9" fontId="0" fillId="0" borderId="0" xfId="0" applyNumberFormat="1" applyAlignment="1">
      <alignment horizontal="center"/>
    </xf>
    <xf numFmtId="164" fontId="3" fillId="0" borderId="0" xfId="4" applyNumberFormat="1"/>
    <xf numFmtId="164" fontId="1" fillId="0" borderId="12" xfId="4" applyNumberFormat="1" applyFont="1" applyBorder="1"/>
    <xf numFmtId="164" fontId="0" fillId="0" borderId="12" xfId="4" applyNumberFormat="1" applyFont="1" applyBorder="1"/>
    <xf numFmtId="9" fontId="1" fillId="0" borderId="0" xfId="3" applyFont="1" applyAlignment="1">
      <alignment horizontal="center"/>
    </xf>
    <xf numFmtId="164" fontId="1" fillId="0" borderId="0" xfId="0" applyNumberFormat="1" applyFont="1"/>
    <xf numFmtId="164" fontId="0" fillId="5" borderId="0" xfId="4" applyNumberFormat="1" applyFont="1" applyFill="1"/>
    <xf numFmtId="166" fontId="0" fillId="5" borderId="0" xfId="5" applyFont="1" applyFill="1"/>
    <xf numFmtId="166" fontId="1" fillId="0" borderId="0" xfId="5" applyFont="1"/>
    <xf numFmtId="166" fontId="0" fillId="0" borderId="0" xfId="0" applyNumberFormat="1"/>
    <xf numFmtId="164" fontId="3" fillId="5" borderId="0" xfId="4" applyNumberFormat="1" applyFill="1"/>
    <xf numFmtId="164" fontId="1" fillId="0" borderId="13" xfId="4" applyNumberFormat="1" applyFont="1" applyBorder="1"/>
    <xf numFmtId="10" fontId="0" fillId="0" borderId="0" xfId="3" applyNumberFormat="1" applyFont="1" applyAlignment="1">
      <alignment horizontal="center"/>
    </xf>
    <xf numFmtId="0" fontId="0" fillId="5" borderId="0" xfId="0" applyFill="1"/>
    <xf numFmtId="10" fontId="0" fillId="0" borderId="0" xfId="0" applyNumberFormat="1" applyAlignment="1">
      <alignment horizontal="center"/>
    </xf>
    <xf numFmtId="164" fontId="0" fillId="5" borderId="0" xfId="0" applyNumberFormat="1" applyFill="1"/>
    <xf numFmtId="164" fontId="1" fillId="0" borderId="0" xfId="4" applyNumberFormat="1" applyFont="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4" xfId="0" applyBorder="1" applyAlignment="1">
      <alignment horizontal="center" vertical="center"/>
    </xf>
    <xf numFmtId="6" fontId="0" fillId="0" borderId="4" xfId="0" applyNumberFormat="1" applyBorder="1" applyAlignment="1">
      <alignment horizontal="center" vertical="center"/>
    </xf>
    <xf numFmtId="0" fontId="0" fillId="0" borderId="10" xfId="0" applyBorder="1" applyAlignment="1">
      <alignment horizontal="center" vertical="center"/>
    </xf>
    <xf numFmtId="168" fontId="0" fillId="0" borderId="4" xfId="3" applyNumberFormat="1" applyFont="1" applyBorder="1" applyAlignment="1">
      <alignment horizontal="center" vertical="center"/>
    </xf>
    <xf numFmtId="0" fontId="12" fillId="0" borderId="0" xfId="6"/>
    <xf numFmtId="0" fontId="12" fillId="0" borderId="13" xfId="6" applyBorder="1"/>
    <xf numFmtId="3" fontId="16" fillId="0" borderId="7" xfId="6" applyNumberFormat="1" applyFont="1" applyBorder="1"/>
    <xf numFmtId="0" fontId="16" fillId="5" borderId="4" xfId="6" applyFont="1" applyFill="1" applyBorder="1"/>
    <xf numFmtId="0" fontId="16" fillId="0" borderId="4" xfId="6" applyFont="1" applyBorder="1"/>
    <xf numFmtId="42" fontId="12" fillId="0" borderId="0" xfId="2" applyFont="1"/>
    <xf numFmtId="3" fontId="12" fillId="0" borderId="0" xfId="6" applyNumberFormat="1"/>
    <xf numFmtId="164" fontId="12" fillId="0" borderId="0" xfId="4" applyNumberFormat="1" applyFont="1"/>
    <xf numFmtId="1" fontId="12" fillId="0" borderId="0" xfId="6" applyNumberFormat="1"/>
    <xf numFmtId="3" fontId="16" fillId="0" borderId="22" xfId="6" applyNumberFormat="1" applyFont="1" applyBorder="1"/>
    <xf numFmtId="0" fontId="16" fillId="0" borderId="17" xfId="6" applyFont="1" applyBorder="1"/>
    <xf numFmtId="3" fontId="16" fillId="0" borderId="0" xfId="6" applyNumberFormat="1" applyFont="1"/>
    <xf numFmtId="0" fontId="16" fillId="0" borderId="0" xfId="6" applyFont="1"/>
    <xf numFmtId="0" fontId="13" fillId="0" borderId="23" xfId="6" applyFont="1" applyBorder="1"/>
    <xf numFmtId="165" fontId="12" fillId="0" borderId="0" xfId="6" applyNumberFormat="1"/>
    <xf numFmtId="0" fontId="12" fillId="0" borderId="24" xfId="6" applyBorder="1"/>
    <xf numFmtId="0" fontId="12" fillId="0" borderId="18" xfId="6" applyBorder="1"/>
    <xf numFmtId="165" fontId="12" fillId="0" borderId="0" xfId="4" applyFont="1"/>
    <xf numFmtId="0" fontId="18" fillId="0" borderId="23" xfId="6" applyFont="1" applyBorder="1"/>
    <xf numFmtId="0" fontId="15" fillId="0" borderId="16" xfId="6" applyFont="1" applyBorder="1"/>
    <xf numFmtId="0" fontId="18" fillId="0" borderId="13" xfId="6" applyFont="1" applyBorder="1"/>
    <xf numFmtId="0" fontId="15" fillId="0" borderId="24" xfId="6" applyFont="1" applyBorder="1"/>
    <xf numFmtId="0" fontId="18" fillId="0" borderId="24" xfId="6" applyFont="1" applyBorder="1"/>
    <xf numFmtId="0" fontId="18" fillId="0" borderId="0" xfId="6" applyFont="1"/>
    <xf numFmtId="0" fontId="12" fillId="0" borderId="25" xfId="6" applyBorder="1"/>
    <xf numFmtId="0" fontId="12" fillId="0" borderId="26" xfId="6" applyBorder="1"/>
    <xf numFmtId="0" fontId="18" fillId="0" borderId="25" xfId="6" applyFont="1" applyBorder="1"/>
    <xf numFmtId="0" fontId="18" fillId="0" borderId="12" xfId="6" applyFont="1" applyBorder="1"/>
    <xf numFmtId="10" fontId="0" fillId="0" borderId="4" xfId="0" applyNumberFormat="1" applyBorder="1" applyAlignment="1">
      <alignment horizontal="center" vertical="center"/>
    </xf>
    <xf numFmtId="9" fontId="0" fillId="0" borderId="4" xfId="0" applyNumberFormat="1" applyBorder="1" applyAlignment="1">
      <alignment horizontal="center" vertical="center"/>
    </xf>
    <xf numFmtId="10" fontId="0" fillId="0" borderId="8" xfId="0" applyNumberFormat="1" applyBorder="1" applyAlignment="1">
      <alignment horizontal="center" vertical="center"/>
    </xf>
    <xf numFmtId="168" fontId="0" fillId="0" borderId="4" xfId="0" applyNumberFormat="1" applyBorder="1" applyAlignment="1">
      <alignment horizontal="center" vertical="center"/>
    </xf>
    <xf numFmtId="10" fontId="0" fillId="0" borderId="10" xfId="0" applyNumberFormat="1" applyBorder="1" applyAlignment="1">
      <alignment horizontal="center" vertical="center"/>
    </xf>
    <xf numFmtId="6" fontId="0" fillId="0" borderId="4" xfId="3" applyNumberFormat="1" applyFont="1" applyBorder="1" applyAlignment="1">
      <alignment horizontal="center" vertical="center"/>
    </xf>
    <xf numFmtId="9" fontId="0" fillId="0" borderId="8" xfId="3"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xf>
    <xf numFmtId="0" fontId="1" fillId="0" borderId="21" xfId="0" applyFont="1" applyBorder="1" applyAlignment="1">
      <alignment horizontal="center"/>
    </xf>
    <xf numFmtId="0" fontId="0" fillId="8" borderId="29" xfId="0" applyFill="1" applyBorder="1" applyAlignment="1">
      <alignment horizontal="center" vertical="center"/>
    </xf>
    <xf numFmtId="0" fontId="0" fillId="0" borderId="30" xfId="0" applyBorder="1"/>
    <xf numFmtId="16" fontId="0" fillId="8" borderId="7" xfId="0" applyNumberFormat="1" applyFill="1" applyBorder="1" applyAlignment="1">
      <alignment horizontal="center" vertical="center"/>
    </xf>
    <xf numFmtId="0" fontId="0" fillId="7" borderId="7" xfId="0" applyFill="1" applyBorder="1" applyAlignment="1">
      <alignment horizontal="center" vertical="center"/>
    </xf>
    <xf numFmtId="0" fontId="0" fillId="9" borderId="7" xfId="0" applyFill="1" applyBorder="1" applyAlignment="1">
      <alignment horizontal="center" vertical="center"/>
    </xf>
    <xf numFmtId="0" fontId="0" fillId="10" borderId="7" xfId="0" applyFill="1" applyBorder="1" applyAlignment="1">
      <alignment horizontal="center" vertical="center"/>
    </xf>
    <xf numFmtId="0" fontId="0" fillId="11" borderId="9" xfId="0" applyFill="1"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wrapText="1"/>
    </xf>
    <xf numFmtId="0" fontId="19" fillId="0" borderId="4" xfId="0" applyFont="1" applyBorder="1" applyAlignment="1">
      <alignment horizontal="center" vertical="center"/>
    </xf>
    <xf numFmtId="0" fontId="19" fillId="9" borderId="4" xfId="0" applyFont="1" applyFill="1" applyBorder="1" applyAlignment="1">
      <alignment horizontal="center" vertical="center"/>
    </xf>
    <xf numFmtId="0" fontId="19" fillId="11" borderId="14" xfId="0" applyFont="1" applyFill="1" applyBorder="1" applyAlignment="1">
      <alignment horizontal="center" vertical="center"/>
    </xf>
    <xf numFmtId="0" fontId="0" fillId="0" borderId="33" xfId="0" applyBorder="1" applyAlignment="1">
      <alignment horizontal="center" vertical="center"/>
    </xf>
    <xf numFmtId="0" fontId="0" fillId="8" borderId="33" xfId="0" applyFill="1" applyBorder="1" applyAlignment="1">
      <alignment horizontal="center" vertical="center"/>
    </xf>
    <xf numFmtId="0" fontId="0" fillId="9" borderId="33" xfId="0" applyFill="1" applyBorder="1" applyAlignment="1">
      <alignment horizontal="center" vertical="center"/>
    </xf>
    <xf numFmtId="0" fontId="19" fillId="10" borderId="14" xfId="0" applyFont="1" applyFill="1" applyBorder="1" applyAlignment="1">
      <alignment horizontal="center" vertical="center"/>
    </xf>
    <xf numFmtId="0" fontId="19" fillId="0" borderId="4" xfId="0" applyFont="1" applyBorder="1" applyAlignment="1">
      <alignment horizontal="center" vertical="center" wrapText="1"/>
    </xf>
    <xf numFmtId="0" fontId="19" fillId="7" borderId="4" xfId="0" applyFont="1" applyFill="1" applyBorder="1" applyAlignment="1">
      <alignment horizontal="center" vertical="center"/>
    </xf>
    <xf numFmtId="0" fontId="19" fillId="8" borderId="4" xfId="0" applyFont="1" applyFill="1" applyBorder="1" applyAlignment="1">
      <alignment horizontal="center" vertical="center"/>
    </xf>
    <xf numFmtId="0" fontId="19" fillId="9" borderId="14" xfId="0" applyFont="1" applyFill="1" applyBorder="1" applyAlignment="1">
      <alignment horizontal="center" vertical="center"/>
    </xf>
    <xf numFmtId="0" fontId="0" fillId="7" borderId="33" xfId="0" applyFill="1" applyBorder="1" applyAlignment="1">
      <alignment horizontal="center" vertical="center"/>
    </xf>
    <xf numFmtId="0" fontId="21" fillId="0" borderId="4" xfId="0" applyFont="1" applyBorder="1" applyAlignment="1">
      <alignment horizontal="center" vertical="center" wrapText="1"/>
    </xf>
    <xf numFmtId="0" fontId="19" fillId="0" borderId="4" xfId="0" applyFont="1" applyBorder="1" applyAlignment="1">
      <alignment vertical="center"/>
    </xf>
    <xf numFmtId="0" fontId="19" fillId="0" borderId="10" xfId="0" applyFont="1" applyBorder="1" applyAlignment="1">
      <alignment horizontal="center" vertical="center" wrapText="1"/>
    </xf>
    <xf numFmtId="0" fontId="19" fillId="7" borderId="10" xfId="0" applyFont="1" applyFill="1" applyBorder="1" applyAlignment="1">
      <alignment horizontal="center" vertical="center"/>
    </xf>
    <xf numFmtId="0" fontId="19" fillId="0" borderId="10" xfId="0" applyFont="1" applyBorder="1" applyAlignment="1">
      <alignment horizontal="center" vertical="center"/>
    </xf>
    <xf numFmtId="0" fontId="19" fillId="9" borderId="34" xfId="0" applyFont="1" applyFill="1" applyBorder="1" applyAlignment="1">
      <alignment horizontal="center" vertical="center"/>
    </xf>
    <xf numFmtId="41" fontId="0" fillId="0" borderId="4" xfId="1" applyFont="1" applyBorder="1" applyAlignment="1">
      <alignment horizontal="center" vertical="center"/>
    </xf>
    <xf numFmtId="6" fontId="0" fillId="0" borderId="10" xfId="0" applyNumberFormat="1" applyBorder="1" applyAlignment="1">
      <alignment horizontal="center" vertical="center"/>
    </xf>
    <xf numFmtId="6" fontId="0" fillId="0" borderId="10" xfId="1" applyNumberFormat="1" applyFont="1" applyBorder="1" applyAlignment="1">
      <alignment horizontal="center" vertical="center"/>
    </xf>
    <xf numFmtId="0" fontId="1" fillId="3" borderId="19" xfId="0" applyFont="1" applyFill="1" applyBorder="1" applyAlignment="1">
      <alignment horizontal="center"/>
    </xf>
    <xf numFmtId="0" fontId="1" fillId="3" borderId="20" xfId="0" applyFont="1" applyFill="1" applyBorder="1" applyAlignment="1">
      <alignment horizontal="center"/>
    </xf>
    <xf numFmtId="0" fontId="1" fillId="3" borderId="21" xfId="0" applyFont="1" applyFill="1" applyBorder="1" applyAlignment="1">
      <alignment horizontal="center"/>
    </xf>
    <xf numFmtId="6" fontId="0" fillId="0" borderId="0" xfId="0" applyNumberFormat="1" applyBorder="1" applyAlignment="1">
      <alignment horizontal="center" vertical="center"/>
    </xf>
    <xf numFmtId="168" fontId="0" fillId="0" borderId="10" xfId="3" applyNumberFormat="1" applyFont="1" applyBorder="1" applyAlignment="1">
      <alignment horizontal="center" vertical="center"/>
    </xf>
    <xf numFmtId="10" fontId="0" fillId="0" borderId="11" xfId="0" applyNumberFormat="1" applyBorder="1" applyAlignment="1">
      <alignment horizontal="center" vertical="center"/>
    </xf>
    <xf numFmtId="0" fontId="1" fillId="12" borderId="19" xfId="0" applyFont="1" applyFill="1" applyBorder="1" applyAlignment="1">
      <alignment horizontal="center"/>
    </xf>
    <xf numFmtId="0" fontId="1" fillId="12" borderId="20" xfId="0" applyFont="1" applyFill="1" applyBorder="1" applyAlignment="1">
      <alignment horizontal="center"/>
    </xf>
    <xf numFmtId="0" fontId="1" fillId="12" borderId="20" xfId="0" applyFont="1" applyFill="1" applyBorder="1" applyAlignment="1">
      <alignment horizontal="center" vertical="center"/>
    </xf>
    <xf numFmtId="0" fontId="1" fillId="12" borderId="35" xfId="0" applyFont="1" applyFill="1" applyBorder="1" applyAlignment="1">
      <alignment horizontal="center" vertical="center"/>
    </xf>
    <xf numFmtId="0" fontId="1" fillId="12" borderId="36" xfId="0" applyFont="1" applyFill="1" applyBorder="1" applyAlignment="1">
      <alignment horizontal="center" vertical="center"/>
    </xf>
    <xf numFmtId="0" fontId="1" fillId="0" borderId="39" xfId="0" applyFont="1" applyBorder="1" applyAlignment="1">
      <alignment horizontal="center" vertical="center"/>
    </xf>
    <xf numFmtId="0" fontId="0" fillId="0" borderId="32" xfId="0" applyBorder="1" applyAlignment="1">
      <alignment vertical="center" wrapText="1"/>
    </xf>
    <xf numFmtId="0" fontId="22" fillId="0" borderId="40" xfId="0" applyFont="1" applyBorder="1" applyAlignment="1">
      <alignment horizontal="center" vertical="center" wrapText="1"/>
    </xf>
    <xf numFmtId="0" fontId="0" fillId="0" borderId="33" xfId="0" applyBorder="1" applyAlignment="1">
      <alignment horizontal="center" vertical="center" wrapText="1"/>
    </xf>
    <xf numFmtId="0" fontId="0" fillId="9" borderId="41" xfId="0" applyFill="1" applyBorder="1" applyAlignment="1">
      <alignment horizontal="center" vertical="center"/>
    </xf>
    <xf numFmtId="0" fontId="0" fillId="0" borderId="42" xfId="0" applyBorder="1" applyAlignment="1">
      <alignment horizontal="left" vertical="center" wrapText="1"/>
    </xf>
    <xf numFmtId="0" fontId="23" fillId="0" borderId="0" xfId="0" applyFont="1"/>
    <xf numFmtId="0" fontId="0" fillId="10" borderId="41" xfId="0" applyFill="1" applyBorder="1" applyAlignment="1">
      <alignment horizontal="center" vertical="center"/>
    </xf>
    <xf numFmtId="0" fontId="0" fillId="0" borderId="42" xfId="0" applyBorder="1" applyAlignment="1">
      <alignment horizontal="center" vertical="center" wrapText="1"/>
    </xf>
    <xf numFmtId="0" fontId="0" fillId="7" borderId="41" xfId="0" applyFill="1" applyBorder="1" applyAlignment="1">
      <alignment horizontal="center" vertical="center"/>
    </xf>
    <xf numFmtId="0" fontId="21" fillId="0" borderId="4" xfId="0" applyFont="1" applyBorder="1" applyAlignment="1">
      <alignment horizontal="left" vertical="center" wrapText="1"/>
    </xf>
    <xf numFmtId="0" fontId="21" fillId="0" borderId="4" xfId="0" applyFont="1" applyBorder="1" applyAlignment="1">
      <alignment horizontal="left" vertical="center"/>
    </xf>
    <xf numFmtId="0" fontId="19" fillId="9" borderId="8" xfId="0" applyFont="1" applyFill="1" applyBorder="1" applyAlignment="1">
      <alignment horizontal="center" vertical="center"/>
    </xf>
    <xf numFmtId="0" fontId="20" fillId="0" borderId="7"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0" xfId="0" applyFont="1" applyBorder="1" applyAlignment="1">
      <alignment horizontal="left" vertical="center"/>
    </xf>
    <xf numFmtId="0" fontId="0" fillId="0" borderId="43" xfId="0" applyBorder="1" applyAlignment="1">
      <alignment vertical="center" wrapText="1"/>
    </xf>
    <xf numFmtId="0" fontId="0" fillId="0" borderId="44" xfId="0" applyBorder="1" applyAlignment="1">
      <alignment horizontal="center" vertical="center" wrapText="1"/>
    </xf>
    <xf numFmtId="0" fontId="0" fillId="8" borderId="44" xfId="0" applyFill="1" applyBorder="1" applyAlignment="1">
      <alignment horizontal="center" vertical="center"/>
    </xf>
    <xf numFmtId="0" fontId="0" fillId="0" borderId="44" xfId="0" applyBorder="1" applyAlignment="1">
      <alignment horizontal="center" vertical="center"/>
    </xf>
    <xf numFmtId="0" fontId="0" fillId="9" borderId="45" xfId="0" applyFill="1" applyBorder="1" applyAlignment="1">
      <alignment horizontal="center" vertical="center"/>
    </xf>
    <xf numFmtId="0" fontId="0" fillId="0" borderId="46" xfId="0" applyBorder="1" applyAlignment="1">
      <alignment horizontal="center" vertical="center" wrapText="1"/>
    </xf>
    <xf numFmtId="6" fontId="21" fillId="0" borderId="0" xfId="0" applyNumberFormat="1" applyFont="1" applyAlignment="1">
      <alignment horizontal="center"/>
    </xf>
    <xf numFmtId="0" fontId="0" fillId="0" borderId="0" xfId="0" applyFill="1" applyBorder="1"/>
    <xf numFmtId="6" fontId="0" fillId="0" borderId="4" xfId="0" applyNumberFormat="1" applyFill="1" applyBorder="1" applyAlignment="1">
      <alignment horizontal="center" vertical="center"/>
    </xf>
    <xf numFmtId="0" fontId="0" fillId="0" borderId="4" xfId="0" applyFill="1" applyBorder="1" applyAlignment="1">
      <alignment horizontal="center" vertical="center"/>
    </xf>
    <xf numFmtId="6" fontId="0" fillId="0" borderId="4" xfId="1" applyNumberFormat="1" applyFont="1" applyFill="1" applyBorder="1" applyAlignment="1">
      <alignment horizontal="center" vertical="center"/>
    </xf>
    <xf numFmtId="0" fontId="0" fillId="0" borderId="4" xfId="0" applyFill="1" applyBorder="1" applyAlignment="1">
      <alignment horizontal="left" vertical="center" wrapText="1"/>
    </xf>
    <xf numFmtId="0" fontId="0" fillId="0" borderId="4" xfId="0" applyFill="1" applyBorder="1"/>
    <xf numFmtId="0" fontId="6" fillId="0" borderId="4" xfId="0" applyFont="1" applyBorder="1" applyAlignment="1">
      <alignment horizontal="left" vertical="center"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6" fontId="0" fillId="0" borderId="14" xfId="0" applyNumberFormat="1" applyBorder="1" applyAlignment="1">
      <alignment horizontal="center" vertical="center"/>
    </xf>
    <xf numFmtId="6" fontId="0" fillId="0" borderId="15" xfId="0" applyNumberForma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Alignment="1">
      <alignment horizontal="left"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24" fillId="0" borderId="1" xfId="0" applyFont="1" applyBorder="1" applyAlignment="1">
      <alignment horizontal="center"/>
    </xf>
    <xf numFmtId="0" fontId="24" fillId="0" borderId="2" xfId="0" applyFont="1" applyBorder="1" applyAlignment="1">
      <alignment horizontal="center"/>
    </xf>
    <xf numFmtId="0" fontId="24" fillId="0" borderId="3" xfId="0" applyFont="1" applyBorder="1" applyAlignment="1">
      <alignment horizontal="center"/>
    </xf>
    <xf numFmtId="164" fontId="0" fillId="0" borderId="0" xfId="4" applyNumberFormat="1" applyFont="1" applyAlignment="1">
      <alignment horizontal="center"/>
    </xf>
    <xf numFmtId="164" fontId="1" fillId="0" borderId="0" xfId="4" applyNumberFormat="1" applyFont="1" applyAlignment="1">
      <alignment horizontal="center"/>
    </xf>
    <xf numFmtId="0" fontId="1" fillId="0" borderId="0" xfId="0" applyFont="1" applyAlignment="1">
      <alignment horizontal="center"/>
    </xf>
    <xf numFmtId="0" fontId="13" fillId="6" borderId="20" xfId="6" applyFont="1" applyFill="1" applyBorder="1" applyAlignment="1">
      <alignment horizontal="center" vertical="center" wrapText="1"/>
    </xf>
    <xf numFmtId="0" fontId="13" fillId="6" borderId="4" xfId="6" applyFont="1" applyFill="1" applyBorder="1" applyAlignment="1">
      <alignment horizontal="center" vertical="center" wrapText="1"/>
    </xf>
    <xf numFmtId="0" fontId="16" fillId="5" borderId="4" xfId="6" applyFont="1" applyFill="1" applyBorder="1" applyAlignment="1">
      <alignment horizontal="left"/>
    </xf>
    <xf numFmtId="0" fontId="14" fillId="6" borderId="19" xfId="6" applyFont="1" applyFill="1" applyBorder="1" applyAlignment="1">
      <alignment horizontal="center" vertical="center"/>
    </xf>
    <xf numFmtId="0" fontId="14" fillId="6" borderId="7" xfId="6" applyFont="1" applyFill="1" applyBorder="1" applyAlignment="1">
      <alignment horizontal="center" vertical="center"/>
    </xf>
    <xf numFmtId="0" fontId="14" fillId="6" borderId="20" xfId="6" applyFont="1" applyFill="1" applyBorder="1" applyAlignment="1">
      <alignment horizontal="center" vertical="center"/>
    </xf>
    <xf numFmtId="0" fontId="13" fillId="6" borderId="20" xfId="6" applyFont="1" applyFill="1" applyBorder="1" applyAlignment="1">
      <alignment horizontal="center" vertical="center"/>
    </xf>
    <xf numFmtId="0" fontId="14" fillId="6" borderId="4" xfId="6" applyFont="1" applyFill="1" applyBorder="1" applyAlignment="1">
      <alignment horizontal="center" vertical="center"/>
    </xf>
    <xf numFmtId="0" fontId="13" fillId="6" borderId="4" xfId="6" applyFont="1" applyFill="1" applyBorder="1" applyAlignment="1">
      <alignment horizontal="center" vertical="center"/>
    </xf>
    <xf numFmtId="0" fontId="16" fillId="0" borderId="4" xfId="6" applyFont="1" applyBorder="1" applyAlignment="1">
      <alignment horizontal="left"/>
    </xf>
    <xf numFmtId="0" fontId="16" fillId="5" borderId="14" xfId="6" applyFont="1" applyFill="1" applyBorder="1" applyAlignment="1">
      <alignment horizontal="left"/>
    </xf>
    <xf numFmtId="0" fontId="16" fillId="5" borderId="15" xfId="6" applyFont="1" applyFill="1" applyBorder="1" applyAlignment="1">
      <alignment horizontal="left"/>
    </xf>
    <xf numFmtId="0" fontId="16" fillId="0" borderId="14" xfId="6" applyFont="1" applyBorder="1" applyAlignment="1">
      <alignment horizontal="left"/>
    </xf>
    <xf numFmtId="0" fontId="16" fillId="0" borderId="15" xfId="6" applyFont="1" applyBorder="1" applyAlignment="1">
      <alignment horizontal="left"/>
    </xf>
    <xf numFmtId="0" fontId="16" fillId="0" borderId="14" xfId="6" applyFont="1" applyBorder="1" applyAlignment="1">
      <alignment horizontal="center"/>
    </xf>
    <xf numFmtId="0" fontId="16" fillId="0" borderId="15" xfId="6" applyFont="1" applyBorder="1" applyAlignment="1">
      <alignment horizontal="center"/>
    </xf>
    <xf numFmtId="3" fontId="17" fillId="0" borderId="9" xfId="6" applyNumberFormat="1" applyFont="1" applyBorder="1" applyAlignment="1">
      <alignment horizontal="center"/>
    </xf>
    <xf numFmtId="3" fontId="17" fillId="0" borderId="10" xfId="6" applyNumberFormat="1" applyFont="1" applyBorder="1" applyAlignment="1">
      <alignment horizontal="center"/>
    </xf>
    <xf numFmtId="0" fontId="1" fillId="12" borderId="37" xfId="0" applyFont="1" applyFill="1" applyBorder="1" applyAlignment="1">
      <alignment horizontal="center"/>
    </xf>
    <xf numFmtId="0" fontId="1" fillId="12" borderId="38" xfId="0" applyFont="1" applyFill="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1" fillId="12" borderId="20" xfId="0" applyFont="1" applyFill="1" applyBorder="1" applyAlignment="1">
      <alignment horizontal="center"/>
    </xf>
    <xf numFmtId="0" fontId="1" fillId="12" borderId="31" xfId="0" applyFont="1" applyFill="1" applyBorder="1" applyAlignment="1">
      <alignment horizontal="center"/>
    </xf>
    <xf numFmtId="0" fontId="20" fillId="0" borderId="7" xfId="0" applyFont="1" applyBorder="1" applyAlignment="1">
      <alignment horizontal="center" vertical="center" wrapText="1"/>
    </xf>
    <xf numFmtId="0" fontId="20" fillId="0" borderId="9" xfId="0" applyFont="1" applyBorder="1" applyAlignment="1">
      <alignment horizontal="center" vertical="center" wrapText="1"/>
    </xf>
  </cellXfs>
  <cellStyles count="8">
    <cellStyle name="Comma [0]" xfId="1" builtinId="6"/>
    <cellStyle name="Currency [0]" xfId="2" builtinId="7"/>
    <cellStyle name="Currency [0] 2" xfId="5" xr:uid="{00000000-0005-0000-0000-000002000000}"/>
    <cellStyle name="Currency 2" xfId="4" xr:uid="{00000000-0005-0000-0000-000003000000}"/>
    <cellStyle name="Normal" xfId="0" builtinId="0"/>
    <cellStyle name="Normal 2" xfId="6" xr:uid="{00000000-0005-0000-0000-000005000000}"/>
    <cellStyle name="Percent" xfId="3" builtinId="5"/>
    <cellStyle name="Porcentual 2" xfId="7" xr:uid="{00000000-0005-0000-0000-000007000000}"/>
  </cellStyles>
  <dxfs count="1">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3</xdr:col>
      <xdr:colOff>194732</xdr:colOff>
      <xdr:row>26</xdr:row>
      <xdr:rowOff>85195</xdr:rowOff>
    </xdr:from>
    <xdr:ext cx="2800447" cy="38036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D86D98B-72CD-4EF1-A09E-9FF17E457063}"/>
                </a:ext>
              </a:extLst>
            </xdr:cNvPr>
            <xdr:cNvSpPr txBox="1"/>
          </xdr:nvSpPr>
          <xdr:spPr>
            <a:xfrm>
              <a:off x="4248149" y="9324445"/>
              <a:ext cx="280044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𝑁𝑜</m:t>
                            </m:r>
                            <m:r>
                              <a:rPr lang="es-CO" sz="1100" b="0" i="1">
                                <a:latin typeface="Cambria Math" panose="02040503050406030204" pitchFamily="18" charset="0"/>
                              </a:rPr>
                              <m:t>. </m:t>
                            </m:r>
                            <m:r>
                              <a:rPr lang="es-CO" sz="1100" b="0" i="1">
                                <a:latin typeface="Cambria Math" panose="02040503050406030204" pitchFamily="18" charset="0"/>
                              </a:rPr>
                              <m:t>𝐶𝑎𝑝𝑎𝑐𝑖𝑡𝑎𝑐𝑖𝑜𝑛𝑒𝑠</m:t>
                            </m:r>
                            <m:r>
                              <a:rPr lang="es-CO" sz="1100" b="0" i="1">
                                <a:latin typeface="Cambria Math" panose="02040503050406030204" pitchFamily="18" charset="0"/>
                              </a:rPr>
                              <m:t> </m:t>
                            </m:r>
                            <m:r>
                              <a:rPr lang="es-CO" sz="1100" b="0" i="1">
                                <a:latin typeface="Cambria Math" panose="02040503050406030204" pitchFamily="18" charset="0"/>
                              </a:rPr>
                              <m:t>𝑅𝑒𝑎𝑙𝑖𝑧𝑎𝑑𝑎𝑠</m:t>
                            </m:r>
                          </m:num>
                          <m:den>
                            <m:r>
                              <a:rPr lang="es-CO" sz="1100" b="0" i="1">
                                <a:latin typeface="Cambria Math" panose="02040503050406030204" pitchFamily="18" charset="0"/>
                              </a:rPr>
                              <m:t>𝑁𝑜</m:t>
                            </m:r>
                            <m:r>
                              <a:rPr lang="es-CO" sz="1100" b="0" i="1">
                                <a:latin typeface="Cambria Math" panose="02040503050406030204" pitchFamily="18" charset="0"/>
                              </a:rPr>
                              <m:t>. </m:t>
                            </m:r>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𝐶𝑎𝑝𝑎𝑐𝑖𝑡𝑎𝑐𝑖𝑜𝑛𝑒𝑠</m:t>
                            </m:r>
                            <m:r>
                              <a:rPr lang="es-CO" sz="1100" b="0" i="1">
                                <a:latin typeface="Cambria Math" panose="02040503050406030204" pitchFamily="18" charset="0"/>
                              </a:rPr>
                              <m:t> </m:t>
                            </m:r>
                            <m:r>
                              <a:rPr lang="es-CO" sz="1100" b="0" i="1">
                                <a:latin typeface="Cambria Math" panose="02040503050406030204" pitchFamily="18" charset="0"/>
                              </a:rPr>
                              <m:t>𝑝𝑟𝑒𝑣𝑖𝑠𝑡𝑎𝑠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2" name="TextBox 1">
              <a:extLst>
                <a:ext uri="{FF2B5EF4-FFF2-40B4-BE49-F238E27FC236}">
                  <a16:creationId xmlns:a16="http://schemas.microsoft.com/office/drawing/2014/main" id="{AD86D98B-72CD-4EF1-A09E-9FF17E457063}"/>
                </a:ext>
              </a:extLst>
            </xdr:cNvPr>
            <xdr:cNvSpPr txBox="1"/>
          </xdr:nvSpPr>
          <xdr:spPr>
            <a:xfrm>
              <a:off x="4248149" y="9324445"/>
              <a:ext cx="280044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((𝑁𝑜. 𝐶𝑎𝑝𝑎𝑐𝑖𝑡𝑎𝑐𝑖𝑜𝑛𝑒𝑠 𝑅𝑒𝑎𝑙𝑖𝑧𝑎𝑑𝑎𝑠)/(𝑁𝑜. 𝑇𝑜𝑡𝑎𝑙 𝐶𝑎𝑝𝑎𝑐𝑖𝑡𝑎𝑐𝑖𝑜𝑛𝑒𝑠 𝑝𝑟𝑒𝑣𝑖𝑠𝑡𝑎𝑠))∗100 </a:t>
              </a:r>
              <a:endParaRPr lang="es-CO" sz="1100"/>
            </a:p>
          </xdr:txBody>
        </xdr:sp>
      </mc:Fallback>
    </mc:AlternateContent>
    <xdr:clientData/>
  </xdr:oneCellAnchor>
  <xdr:oneCellAnchor>
    <xdr:from>
      <xdr:col>2</xdr:col>
      <xdr:colOff>1871133</xdr:colOff>
      <xdr:row>21</xdr:row>
      <xdr:rowOff>88871</xdr:rowOff>
    </xdr:from>
    <xdr:ext cx="4447243" cy="38036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CC5CD7E2-E560-482F-A082-6FE052A3E63A}"/>
                </a:ext>
              </a:extLst>
            </xdr:cNvPr>
            <xdr:cNvSpPr txBox="1"/>
          </xdr:nvSpPr>
          <xdr:spPr>
            <a:xfrm>
              <a:off x="4307528" y="6946871"/>
              <a:ext cx="444724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𝑁𝑜</m:t>
                            </m:r>
                            <m:r>
                              <a:rPr lang="es-CO" sz="1100" b="0" i="1">
                                <a:latin typeface="Cambria Math" panose="02040503050406030204" pitchFamily="18" charset="0"/>
                              </a:rPr>
                              <m:t>. </m:t>
                            </m:r>
                            <m:r>
                              <a:rPr lang="es-CO" sz="1100" b="0" i="1">
                                <a:latin typeface="Cambria Math" panose="02040503050406030204" pitchFamily="18" charset="0"/>
                              </a:rPr>
                              <m:t>h𝑜𝑟𝑎𝑠</m:t>
                            </m:r>
                            <m:func>
                              <m:funcPr>
                                <m:ctrlPr>
                                  <a:rPr lang="es-CO" sz="1100" b="0" i="1">
                                    <a:latin typeface="Cambria Math" panose="02040503050406030204" pitchFamily="18" charset="0"/>
                                  </a:rPr>
                                </m:ctrlPr>
                              </m:funcPr>
                              <m:fName>
                                <m:r>
                                  <m:rPr>
                                    <m:sty m:val="p"/>
                                  </m:rPr>
                                  <a:rPr lang="es-CO" sz="1100" b="0" i="0">
                                    <a:latin typeface="Cambria Math" panose="02040503050406030204" pitchFamily="18" charset="0"/>
                                  </a:rPr>
                                  <m:t>sin</m:t>
                                </m:r>
                              </m:fName>
                              <m:e>
                                <m:r>
                                  <a:rPr lang="es-CO" sz="1100" b="0" i="1">
                                    <a:latin typeface="Cambria Math" panose="02040503050406030204" pitchFamily="18" charset="0"/>
                                  </a:rPr>
                                  <m:t>𝑠𝑒𝑟𝑣𝑖𝑐𝑖𝑜</m:t>
                                </m:r>
                              </m:e>
                            </m:func>
                            <m:r>
                              <a:rPr lang="es-CO" sz="1100" b="0" i="1">
                                <a:latin typeface="Cambria Math" panose="02040503050406030204" pitchFamily="18" charset="0"/>
                              </a:rPr>
                              <m:t> </m:t>
                            </m:r>
                            <m:r>
                              <a:rPr lang="es-CO" sz="1100" b="0" i="1">
                                <a:latin typeface="Cambria Math" panose="02040503050406030204" pitchFamily="18" charset="0"/>
                              </a:rPr>
                              <m:t>𝑜</m:t>
                            </m:r>
                            <m:r>
                              <a:rPr lang="es-CO" sz="1100" b="0" i="1">
                                <a:latin typeface="Cambria Math" panose="02040503050406030204" pitchFamily="18" charset="0"/>
                              </a:rPr>
                              <m:t> </m:t>
                            </m:r>
                            <m:r>
                              <a:rPr lang="es-CO" sz="1100" b="0" i="1">
                                <a:latin typeface="Cambria Math" panose="02040503050406030204" pitchFamily="18" charset="0"/>
                              </a:rPr>
                              <m:t>𝑠𝑖𝑠𝑡𝑒𝑚𝑎</m:t>
                            </m:r>
                            <m:r>
                              <a:rPr lang="es-CO" sz="1100" b="0" i="1">
                                <a:latin typeface="Cambria Math" panose="02040503050406030204" pitchFamily="18" charset="0"/>
                              </a:rPr>
                              <m:t> </m:t>
                            </m:r>
                            <m:r>
                              <a:rPr lang="es-CO" sz="1100" b="0" i="1">
                                <a:latin typeface="Cambria Math" panose="02040503050406030204" pitchFamily="18" charset="0"/>
                              </a:rPr>
                              <m:t>𝑐𝑎</m:t>
                            </m:r>
                            <m:r>
                              <a:rPr lang="es-CO" sz="1100" b="0" i="1">
                                <a:latin typeface="Cambria Math" panose="02040503050406030204" pitchFamily="18" charset="0"/>
                              </a:rPr>
                              <m:t>í</m:t>
                            </m:r>
                            <m:r>
                              <a:rPr lang="es-CO" sz="1100" b="0" i="1">
                                <a:latin typeface="Cambria Math" panose="02040503050406030204" pitchFamily="18" charset="0"/>
                              </a:rPr>
                              <m:t>𝑑𝑜</m:t>
                            </m:r>
                            <m:r>
                              <a:rPr lang="es-CO" sz="1100" b="0" i="1">
                                <a:latin typeface="Cambria Math" panose="02040503050406030204" pitchFamily="18" charset="0"/>
                              </a:rPr>
                              <m:t> </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h𝑜𝑟𝑎𝑠</m:t>
                            </m:r>
                            <m:r>
                              <a:rPr lang="es-CO" sz="1100" b="0" i="1">
                                <a:latin typeface="Cambria Math" panose="02040503050406030204" pitchFamily="18" charset="0"/>
                              </a:rPr>
                              <m:t> </m:t>
                            </m:r>
                            <m:r>
                              <a:rPr lang="es-CO" sz="1100" b="0" i="1">
                                <a:latin typeface="Cambria Math" panose="02040503050406030204" pitchFamily="18" charset="0"/>
                              </a:rPr>
                              <m:t>𝑃𝑟𝑜𝑚𝑒𝑑𝑖𝑜</m:t>
                            </m:r>
                            <m:r>
                              <a:rPr lang="es-CO" sz="1100" b="0" i="1">
                                <a:latin typeface="Cambria Math" panose="02040503050406030204" pitchFamily="18" charset="0"/>
                              </a:rPr>
                              <m:t> </m:t>
                            </m:r>
                            <m:r>
                              <a:rPr lang="es-CO" sz="1100" b="0" i="1">
                                <a:latin typeface="Cambria Math" panose="02040503050406030204" pitchFamily="18" charset="0"/>
                              </a:rPr>
                              <m:t>𝑝𝑙𝑎𝑡𝑎𝑓𝑜𝑟𝑚𝑎𝑠</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𝑒𝑚𝑝𝑙𝑒𝑎𝑑𝑜</m:t>
                            </m:r>
                            <m:r>
                              <a:rPr lang="es-CO" sz="1100" b="0" i="1">
                                <a:latin typeface="Cambria Math" panose="02040503050406030204" pitchFamily="18" charset="0"/>
                              </a:rPr>
                              <m:t> </m:t>
                            </m:r>
                            <m:r>
                              <a:rPr lang="es-CO" sz="1100" b="0" i="1">
                                <a:latin typeface="Cambria Math" panose="02040503050406030204" pitchFamily="18" charset="0"/>
                              </a:rPr>
                              <m:t>𝑎𝑙</m:t>
                            </m:r>
                            <m:r>
                              <a:rPr lang="es-CO" sz="1100" b="0" i="1">
                                <a:latin typeface="Cambria Math" panose="02040503050406030204" pitchFamily="18" charset="0"/>
                              </a:rPr>
                              <m:t> </m:t>
                            </m:r>
                            <m:r>
                              <a:rPr lang="es-CO" sz="1100" b="0" i="1">
                                <a:latin typeface="Cambria Math" panose="02040503050406030204" pitchFamily="18" charset="0"/>
                              </a:rPr>
                              <m:t>𝑚𝑒𝑠</m:t>
                            </m:r>
                            <m:r>
                              <a:rPr lang="es-CO" sz="1100" b="0" i="1">
                                <a:latin typeface="Cambria Math" panose="02040503050406030204" pitchFamily="18" charset="0"/>
                              </a:rPr>
                              <m:t> </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3" name="TextBox 2">
              <a:extLst>
                <a:ext uri="{FF2B5EF4-FFF2-40B4-BE49-F238E27FC236}">
                  <a16:creationId xmlns:a16="http://schemas.microsoft.com/office/drawing/2014/main" id="{CC5CD7E2-E560-482F-A082-6FE052A3E63A}"/>
                </a:ext>
              </a:extLst>
            </xdr:cNvPr>
            <xdr:cNvSpPr txBox="1"/>
          </xdr:nvSpPr>
          <xdr:spPr>
            <a:xfrm>
              <a:off x="4307528" y="6946871"/>
              <a:ext cx="444724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((𝑁𝑜. ℎ𝑜𝑟𝑎𝑠 sin⁡𝑠𝑒𝑟𝑣𝑖𝑐𝑖𝑜  𝑜 𝑠𝑖𝑠𝑡𝑒𝑚𝑎 𝑐𝑎í𝑑𝑜 )/(𝑇𝑜𝑡𝑎𝑙 ℎ𝑜𝑟𝑎𝑠 𝑃𝑟𝑜𝑚𝑒𝑑𝑖𝑜 𝑝𝑙𝑎𝑡𝑎𝑓𝑜𝑟𝑚𝑎𝑠 𝑇.𝐼 𝑝𝑜𝑟 𝑒𝑚𝑝𝑙𝑒𝑎𝑑𝑜 𝑎𝑙 𝑚𝑒𝑠 ))∗100 </a:t>
              </a:r>
              <a:endParaRPr lang="es-CO" sz="1100"/>
            </a:p>
          </xdr:txBody>
        </xdr:sp>
      </mc:Fallback>
    </mc:AlternateContent>
    <xdr:clientData/>
  </xdr:oneCellAnchor>
  <xdr:oneCellAnchor>
    <xdr:from>
      <xdr:col>3</xdr:col>
      <xdr:colOff>975783</xdr:colOff>
      <xdr:row>17</xdr:row>
      <xdr:rowOff>83078</xdr:rowOff>
    </xdr:from>
    <xdr:ext cx="1576650" cy="38036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5248663-3F3D-4A16-B9F4-D7CF8DB46E9E}"/>
                </a:ext>
              </a:extLst>
            </xdr:cNvPr>
            <xdr:cNvSpPr txBox="1"/>
          </xdr:nvSpPr>
          <xdr:spPr>
            <a:xfrm>
              <a:off x="5030712" y="4491792"/>
              <a:ext cx="1576650"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𝑆𝑜𝑙𝑢𝑐𝑖𝑜𝑛𝑒𝑠</m:t>
                            </m:r>
                            <m:r>
                              <a:rPr lang="es-CO" sz="1100" b="0" i="1">
                                <a:latin typeface="Cambria Math" panose="02040503050406030204" pitchFamily="18" charset="0"/>
                              </a:rPr>
                              <m:t> </m:t>
                            </m:r>
                            <m:r>
                              <a:rPr lang="es-CO" sz="1100" b="0" i="1">
                                <a:latin typeface="Cambria Math" panose="02040503050406030204" pitchFamily="18" charset="0"/>
                              </a:rPr>
                              <m:t>𝑃𝑄𝑅</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𝑃𝑄𝑅</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4" name="TextBox 3">
              <a:extLst>
                <a:ext uri="{FF2B5EF4-FFF2-40B4-BE49-F238E27FC236}">
                  <a16:creationId xmlns:a16="http://schemas.microsoft.com/office/drawing/2014/main" id="{95248663-3F3D-4A16-B9F4-D7CF8DB46E9E}"/>
                </a:ext>
              </a:extLst>
            </xdr:cNvPr>
            <xdr:cNvSpPr txBox="1"/>
          </xdr:nvSpPr>
          <xdr:spPr>
            <a:xfrm>
              <a:off x="5030712" y="4491792"/>
              <a:ext cx="1576650"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((𝑆𝑜𝑙𝑢𝑐𝑖𝑜𝑛𝑒𝑠 𝑃𝑄𝑅)/(𝑇𝑜𝑡𝑎𝑙 𝑃𝑄𝑅))∗100 </a:t>
              </a:r>
              <a:endParaRPr lang="es-CO" sz="1100"/>
            </a:p>
          </xdr:txBody>
        </xdr:sp>
      </mc:Fallback>
    </mc:AlternateContent>
    <xdr:clientData/>
  </xdr:oneCellAnchor>
  <xdr:oneCellAnchor>
    <xdr:from>
      <xdr:col>2</xdr:col>
      <xdr:colOff>1861456</xdr:colOff>
      <xdr:row>16</xdr:row>
      <xdr:rowOff>132667</xdr:rowOff>
    </xdr:from>
    <xdr:ext cx="3907865" cy="38036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5799DDE-5C58-448A-94C6-8989D62C77B4}"/>
                </a:ext>
              </a:extLst>
            </xdr:cNvPr>
            <xdr:cNvSpPr txBox="1"/>
          </xdr:nvSpPr>
          <xdr:spPr>
            <a:xfrm>
              <a:off x="4038599" y="3942667"/>
              <a:ext cx="3907865"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𝐼𝑛𝑔𝑟𝑒𝑠𝑜</m:t>
                            </m:r>
                            <m:r>
                              <a:rPr lang="es-CO" sz="1100" b="0" i="1">
                                <a:latin typeface="Cambria Math" panose="02040503050406030204" pitchFamily="18" charset="0"/>
                              </a:rPr>
                              <m:t> </m:t>
                            </m:r>
                            <m:r>
                              <a:rPr lang="es-CO" sz="1100" b="0" i="1">
                                <a:latin typeface="Cambria Math" panose="02040503050406030204" pitchFamily="18" charset="0"/>
                              </a:rPr>
                              <m:t>𝑎</m:t>
                            </m:r>
                            <m:r>
                              <a:rPr lang="es-CO" sz="1100" b="0" i="1">
                                <a:latin typeface="Cambria Math" panose="02040503050406030204" pitchFamily="18" charset="0"/>
                              </a:rPr>
                              <m:t> </m:t>
                            </m:r>
                            <m:r>
                              <a:rPr lang="es-CO" sz="1100" b="0" i="1">
                                <a:latin typeface="Cambria Math" panose="02040503050406030204" pitchFamily="18" charset="0"/>
                              </a:rPr>
                              <m:t>𝑙𝑎</m:t>
                            </m:r>
                            <m:r>
                              <a:rPr lang="es-CO" sz="1100" b="0" i="1">
                                <a:latin typeface="Cambria Math" panose="02040503050406030204" pitchFamily="18" charset="0"/>
                              </a:rPr>
                              <m:t> </m:t>
                            </m:r>
                            <m:r>
                              <a:rPr lang="es-CO" sz="1100" b="0" i="1">
                                <a:latin typeface="Cambria Math" panose="02040503050406030204" pitchFamily="18" charset="0"/>
                              </a:rPr>
                              <m:t>𝑃𝑙𝑎𝑡𝑎𝑓𝑜𝑟𝑚𝑎</m:t>
                            </m:r>
                            <m:r>
                              <a:rPr lang="es-CO" sz="1100" b="0" i="1">
                                <a:latin typeface="Cambria Math" panose="02040503050406030204" pitchFamily="18" charset="0"/>
                              </a:rPr>
                              <m:t> </m:t>
                            </m:r>
                            <m:r>
                              <a:rPr lang="es-CO" sz="1100" b="0" i="1">
                                <a:latin typeface="Cambria Math" panose="02040503050406030204" pitchFamily="18" charset="0"/>
                              </a:rPr>
                              <m:t>𝑀𝑒𝑛𝑠𝑢𝑎𝑙</m:t>
                            </m:r>
                            <m:r>
                              <a:rPr lang="es-CO" sz="1100" b="0" i="1">
                                <a:latin typeface="Cambria Math" panose="02040503050406030204" pitchFamily="18" charset="0"/>
                              </a:rPr>
                              <m:t> (</m:t>
                            </m:r>
                            <m:r>
                              <a:rPr lang="es-CO" sz="1100" b="0" i="1">
                                <a:latin typeface="Cambria Math" panose="02040503050406030204" pitchFamily="18" charset="0"/>
                              </a:rPr>
                              <m:t>𝑆𝑒𝑐𝑐𝑖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𝐶𝑙𝑖𝑒𝑛𝑡𝑒𝑠</m:t>
                            </m:r>
                            <m:r>
                              <a:rPr lang="es-CO" sz="1100" b="0" i="1">
                                <a:latin typeface="Cambria Math" panose="02040503050406030204" pitchFamily="18" charset="0"/>
                              </a:rPr>
                              <m:t>)</m:t>
                            </m:r>
                          </m:num>
                          <m:den>
                            <m:r>
                              <a:rPr lang="es-CO" sz="1100" b="0" i="1">
                                <a:latin typeface="Cambria Math" panose="02040503050406030204" pitchFamily="18" charset="0"/>
                              </a:rPr>
                              <m:t>𝐼𝑛𝑡𝑒𝑟𝑎𝑐𝑐𝑖𝑜𝑛𝑒𝑠</m:t>
                            </m:r>
                            <m:r>
                              <a:rPr lang="es-CO" sz="1100" b="0" i="1">
                                <a:latin typeface="Cambria Math" panose="02040503050406030204" pitchFamily="18" charset="0"/>
                              </a:rPr>
                              <m:t> </m:t>
                            </m:r>
                            <m:r>
                              <a:rPr lang="es-CO" sz="1100" b="0" i="1">
                                <a:latin typeface="Cambria Math" panose="02040503050406030204" pitchFamily="18" charset="0"/>
                              </a:rPr>
                              <m:t>𝑃𝑟𝑒𝑠𝑢𝑝𝑢𝑒𝑠𝑡𝑎𝑑𝑎𝑠</m:t>
                            </m:r>
                            <m:r>
                              <a:rPr lang="es-CO" sz="1100" b="0" i="1">
                                <a:latin typeface="Cambria Math" panose="02040503050406030204" pitchFamily="18" charset="0"/>
                              </a:rPr>
                              <m:t> </m:t>
                            </m:r>
                            <m:r>
                              <a:rPr lang="es-CO" sz="1100" b="0" i="1">
                                <a:latin typeface="Cambria Math" panose="02040503050406030204" pitchFamily="18" charset="0"/>
                              </a:rPr>
                              <m:t>𝑎𝑛𝑢𝑎𝑙𝑒𝑠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5" name="TextBox 4">
              <a:extLst>
                <a:ext uri="{FF2B5EF4-FFF2-40B4-BE49-F238E27FC236}">
                  <a16:creationId xmlns:a16="http://schemas.microsoft.com/office/drawing/2014/main" id="{25799DDE-5C58-448A-94C6-8989D62C77B4}"/>
                </a:ext>
              </a:extLst>
            </xdr:cNvPr>
            <xdr:cNvSpPr txBox="1"/>
          </xdr:nvSpPr>
          <xdr:spPr>
            <a:xfrm>
              <a:off x="4038599" y="3942667"/>
              <a:ext cx="3907865"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((𝐼𝑛𝑔𝑟𝑒𝑠𝑜 𝑎 𝑙𝑎 𝑃𝑙𝑎𝑡𝑎𝑓𝑜𝑟𝑚𝑎 𝑀𝑒𝑛𝑠𝑢𝑎𝑙 (𝑆𝑒𝑐𝑐𝑖ó𝑛 𝐶𝑙𝑖𝑒𝑛𝑡𝑒𝑠))/(𝐼𝑛𝑡𝑒𝑟𝑎𝑐𝑐𝑖𝑜𝑛𝑒𝑠 𝑃𝑟𝑒𝑠𝑢𝑝𝑢𝑒𝑠𝑡𝑎𝑑𝑎𝑠 𝑎𝑛𝑢𝑎𝑙𝑒𝑠))∗100 </a:t>
              </a:r>
              <a:endParaRPr lang="es-CO" sz="1100"/>
            </a:p>
          </xdr:txBody>
        </xdr:sp>
      </mc:Fallback>
    </mc:AlternateContent>
    <xdr:clientData/>
  </xdr:oneCellAnchor>
  <xdr:oneCellAnchor>
    <xdr:from>
      <xdr:col>3</xdr:col>
      <xdr:colOff>55297</xdr:colOff>
      <xdr:row>11</xdr:row>
      <xdr:rowOff>97893</xdr:rowOff>
    </xdr:from>
    <xdr:ext cx="3175934" cy="38036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0A77DA6-CBCC-47C5-964B-E930B36C232A}"/>
                </a:ext>
              </a:extLst>
            </xdr:cNvPr>
            <xdr:cNvSpPr txBox="1"/>
          </xdr:nvSpPr>
          <xdr:spPr>
            <a:xfrm>
              <a:off x="4103422" y="907518"/>
              <a:ext cx="317593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𝐼𝑛𝑔𝑟𝑒𝑠𝑜</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𝑣𝑒𝑛𝑡𝑎𝑠</m:t>
                            </m:r>
                            <m:r>
                              <a:rPr lang="es-CO" sz="1100" b="0" i="1">
                                <a:latin typeface="Cambria Math" panose="02040503050406030204" pitchFamily="18" charset="0"/>
                              </a:rPr>
                              <m:t> </m:t>
                            </m:r>
                            <m:r>
                              <a:rPr lang="es-CO" sz="1100" b="0" i="1">
                                <a:latin typeface="Cambria Math" panose="02040503050406030204" pitchFamily="18" charset="0"/>
                              </a:rPr>
                              <m:t>𝑃𝑙𝑎𝑡𝑎𝑓𝑜𝑟𝑚𝑎</m:t>
                            </m:r>
                            <m:r>
                              <a:rPr lang="es-CO" sz="1100" b="0" i="1">
                                <a:latin typeface="Cambria Math" panose="02040503050406030204" pitchFamily="18" charset="0"/>
                              </a:rPr>
                              <m:t> </m:t>
                            </m:r>
                            <m:r>
                              <a:rPr lang="es-CO" sz="1100" b="0" i="1">
                                <a:latin typeface="Cambria Math" panose="02040503050406030204" pitchFamily="18" charset="0"/>
                              </a:rPr>
                              <m:t>𝑉𝑖𝑟𝑡𝑢𝑎𝑙</m:t>
                            </m:r>
                            <m:r>
                              <a:rPr lang="es-CO" sz="1100" b="0" i="1">
                                <a:latin typeface="Cambria Math" panose="02040503050406030204" pitchFamily="18" charset="0"/>
                              </a:rPr>
                              <m:t> )</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𝑉𝑒𝑛𝑡𝑎𝑠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7" name="TextBox 6">
              <a:extLst>
                <a:ext uri="{FF2B5EF4-FFF2-40B4-BE49-F238E27FC236}">
                  <a16:creationId xmlns:a16="http://schemas.microsoft.com/office/drawing/2014/main" id="{E0A77DA6-CBCC-47C5-964B-E930B36C232A}"/>
                </a:ext>
              </a:extLst>
            </xdr:cNvPr>
            <xdr:cNvSpPr txBox="1"/>
          </xdr:nvSpPr>
          <xdr:spPr>
            <a:xfrm>
              <a:off x="4103422" y="907518"/>
              <a:ext cx="317593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((𝐼𝑛𝑔𝑟𝑒𝑠𝑜 𝑝𝑜𝑟 𝑣𝑒𝑛𝑡𝑎𝑠 𝑃𝑙𝑎𝑡𝑎𝑓𝑜𝑟𝑚𝑎 𝑉𝑖𝑟𝑡𝑢𝑎𝑙 ))/(𝑇𝑜𝑡𝑎𝑙 𝑉𝑒𝑛𝑡𝑎𝑠))∗100 </a:t>
              </a:r>
              <a:endParaRPr lang="es-CO" sz="1100"/>
            </a:p>
          </xdr:txBody>
        </xdr:sp>
      </mc:Fallback>
    </mc:AlternateContent>
    <xdr:clientData/>
  </xdr:oneCellAnchor>
  <xdr:oneCellAnchor>
    <xdr:from>
      <xdr:col>3</xdr:col>
      <xdr:colOff>64822</xdr:colOff>
      <xdr:row>12</xdr:row>
      <xdr:rowOff>83607</xdr:rowOff>
    </xdr:from>
    <xdr:ext cx="3333348" cy="38036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30332AA8-B5F4-4693-BC45-B7E8AC854C77}"/>
                </a:ext>
              </a:extLst>
            </xdr:cNvPr>
            <xdr:cNvSpPr txBox="1"/>
          </xdr:nvSpPr>
          <xdr:spPr>
            <a:xfrm>
              <a:off x="4112947" y="1476638"/>
              <a:ext cx="333334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𝐺𝑎𝑛𝑎𝑛𝑐𝑖𝑎</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𝑣𝑒𝑛𝑡𝑎𝑠</m:t>
                            </m:r>
                            <m:r>
                              <a:rPr lang="es-CO" sz="1100" b="0" i="1">
                                <a:latin typeface="Cambria Math" panose="02040503050406030204" pitchFamily="18" charset="0"/>
                              </a:rPr>
                              <m:t> (</m:t>
                            </m:r>
                            <m:r>
                              <a:rPr lang="es-CO" sz="1100" b="0" i="1">
                                <a:latin typeface="Cambria Math" panose="02040503050406030204" pitchFamily="18" charset="0"/>
                              </a:rPr>
                              <m:t>𝑃𝑙𝑎𝑡𝑎𝑓𝑜𝑟𝑚𝑎</m:t>
                            </m:r>
                            <m:r>
                              <a:rPr lang="es-CO" sz="1100" b="0" i="1">
                                <a:latin typeface="Cambria Math" panose="02040503050406030204" pitchFamily="18" charset="0"/>
                              </a:rPr>
                              <m:t> </m:t>
                            </m:r>
                            <m:r>
                              <a:rPr lang="es-CO" sz="1100" b="0" i="1">
                                <a:latin typeface="Cambria Math" panose="02040503050406030204" pitchFamily="18" charset="0"/>
                              </a:rPr>
                              <m:t>𝑣𝑖𝑟𝑡𝑢𝑎𝑙</m:t>
                            </m:r>
                            <m:r>
                              <a:rPr lang="es-CO" sz="1100" b="0" i="1">
                                <a:latin typeface="Cambria Math" panose="02040503050406030204" pitchFamily="18" charset="0"/>
                              </a:rPr>
                              <m:t> )</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𝐼𝑛𝑣𝑒𝑟𝑠𝑖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8" name="TextBox 7">
              <a:extLst>
                <a:ext uri="{FF2B5EF4-FFF2-40B4-BE49-F238E27FC236}">
                  <a16:creationId xmlns:a16="http://schemas.microsoft.com/office/drawing/2014/main" id="{30332AA8-B5F4-4693-BC45-B7E8AC854C77}"/>
                </a:ext>
              </a:extLst>
            </xdr:cNvPr>
            <xdr:cNvSpPr txBox="1"/>
          </xdr:nvSpPr>
          <xdr:spPr>
            <a:xfrm>
              <a:off x="4112947" y="1476638"/>
              <a:ext cx="333334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((𝐺𝑎𝑛𝑎𝑛𝑐𝑖𝑎 𝑝𝑜𝑟 𝑣𝑒𝑛𝑡𝑎𝑠 (𝑃𝑙𝑎𝑡𝑎𝑓𝑜𝑟𝑚𝑎 𝑣𝑖𝑟𝑡𝑢𝑎𝑙 ))/(𝑇𝑜𝑡𝑎𝑙 𝐼𝑛𝑣𝑒𝑟𝑠𝑖ó𝑛 𝑇.𝐼))∗100 </a:t>
              </a:r>
              <a:endParaRPr lang="es-CO" sz="1100"/>
            </a:p>
          </xdr:txBody>
        </xdr:sp>
      </mc:Fallback>
    </mc:AlternateContent>
    <xdr:clientData/>
  </xdr:oneCellAnchor>
  <xdr:oneCellAnchor>
    <xdr:from>
      <xdr:col>3</xdr:col>
      <xdr:colOff>48654</xdr:colOff>
      <xdr:row>13</xdr:row>
      <xdr:rowOff>213446</xdr:rowOff>
    </xdr:from>
    <xdr:ext cx="4342872"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212C655-5E6C-46C4-8504-61C8E5D88803}"/>
                </a:ext>
              </a:extLst>
            </xdr:cNvPr>
            <xdr:cNvSpPr txBox="1"/>
          </xdr:nvSpPr>
          <xdr:spPr>
            <a:xfrm>
              <a:off x="4359970" y="2399183"/>
              <a:ext cx="43428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r>
                          <a:rPr lang="es-CO" sz="1100" b="0" i="1">
                            <a:latin typeface="Cambria Math" panose="02040503050406030204" pitchFamily="18" charset="0"/>
                          </a:rPr>
                          <m:t>𝐺𝑎𝑛𝑎𝑛𝑐𝑖𝑎</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𝑉𝑒𝑛𝑡𝑎𝑠</m:t>
                        </m:r>
                        <m:r>
                          <a:rPr lang="es-CO" sz="1100" b="0" i="1">
                            <a:latin typeface="Cambria Math" panose="02040503050406030204" pitchFamily="18" charset="0"/>
                          </a:rPr>
                          <m:t> </m:t>
                        </m:r>
                        <m:r>
                          <a:rPr lang="es-CO" sz="1100" b="0" i="1">
                            <a:latin typeface="Cambria Math" panose="02040503050406030204" pitchFamily="18" charset="0"/>
                          </a:rPr>
                          <m:t>𝑃𝑙𝑎𝑡</m:t>
                        </m:r>
                        <m:r>
                          <a:rPr lang="es-CO" sz="1100" b="0" i="1">
                            <a:latin typeface="Cambria Math" panose="02040503050406030204" pitchFamily="18" charset="0"/>
                          </a:rPr>
                          <m:t>. </m:t>
                        </m:r>
                        <m:r>
                          <a:rPr lang="es-CO" sz="1100" b="0" i="1">
                            <a:latin typeface="Cambria Math" panose="02040503050406030204" pitchFamily="18" charset="0"/>
                          </a:rPr>
                          <m:t>𝑉𝑖𝑟𝑡𝑢𝑎𝑙</m:t>
                        </m:r>
                        <m:r>
                          <a:rPr lang="es-CO" sz="1100" b="0" i="1">
                            <a:latin typeface="Cambria Math" panose="02040503050406030204" pitchFamily="18" charset="0"/>
                          </a:rPr>
                          <m:t> −(</m:t>
                        </m:r>
                        <m:r>
                          <a:rPr lang="es-CO" sz="1100" b="0" i="1">
                            <a:latin typeface="Cambria Math" panose="02040503050406030204" pitchFamily="18" charset="0"/>
                          </a:rPr>
                          <m:t>𝐼𝑛𝑣𝑒𝑟𝑠𝑖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r>
                          <a:rPr lang="es-CO" sz="1100" b="0" i="1">
                            <a:latin typeface="Cambria Math" panose="02040503050406030204" pitchFamily="18" charset="0"/>
                          </a:rPr>
                          <m:t> ∗%</m:t>
                        </m:r>
                        <m:r>
                          <a:rPr lang="es-CO" sz="1100" b="0" i="1">
                            <a:latin typeface="Cambria Math" panose="02040503050406030204" pitchFamily="18" charset="0"/>
                          </a:rPr>
                          <m:t>𝐷𝑒𝑠𝑒𝑎𝑑𝑜</m:t>
                        </m:r>
                        <m:r>
                          <a:rPr lang="es-CO" sz="1100" b="0" i="1">
                            <a:latin typeface="Cambria Math" panose="02040503050406030204" pitchFamily="18" charset="0"/>
                          </a:rPr>
                          <m:t>)</m:t>
                        </m:r>
                      </m:e>
                    </m:d>
                  </m:oMath>
                </m:oMathPara>
              </a14:m>
              <a:endParaRPr lang="es-CO" sz="1100"/>
            </a:p>
          </xdr:txBody>
        </xdr:sp>
      </mc:Choice>
      <mc:Fallback xmlns="">
        <xdr:sp macro="" textlink="">
          <xdr:nvSpPr>
            <xdr:cNvPr id="9" name="TextBox 8">
              <a:extLst>
                <a:ext uri="{FF2B5EF4-FFF2-40B4-BE49-F238E27FC236}">
                  <a16:creationId xmlns:a16="http://schemas.microsoft.com/office/drawing/2014/main" id="{B212C655-5E6C-46C4-8504-61C8E5D88803}"/>
                </a:ext>
              </a:extLst>
            </xdr:cNvPr>
            <xdr:cNvSpPr txBox="1"/>
          </xdr:nvSpPr>
          <xdr:spPr>
            <a:xfrm>
              <a:off x="4359970" y="2399183"/>
              <a:ext cx="43428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0" i="0">
                  <a:latin typeface="Cambria Math" panose="02040503050406030204" pitchFamily="18" charset="0"/>
                </a:rPr>
                <a:t>(𝐺𝑎𝑛𝑎𝑛𝑐𝑖𝑎 𝑝𝑜𝑟 𝑉𝑒𝑛𝑡𝑎𝑠 𝑃𝑙𝑎𝑡. 𝑉𝑖𝑟𝑡𝑢𝑎𝑙 −(𝐼𝑛𝑣𝑒𝑟𝑠𝑖ó𝑛 𝑇.𝐼 ∗%𝐷𝑒𝑠𝑒𝑎𝑑𝑜))</a:t>
              </a:r>
              <a:endParaRPr lang="es-CO" sz="1100"/>
            </a:p>
          </xdr:txBody>
        </xdr:sp>
      </mc:Fallback>
    </mc:AlternateContent>
    <xdr:clientData/>
  </xdr:oneCellAnchor>
  <xdr:oneCellAnchor>
    <xdr:from>
      <xdr:col>3</xdr:col>
      <xdr:colOff>264847</xdr:colOff>
      <xdr:row>14</xdr:row>
      <xdr:rowOff>105038</xdr:rowOff>
    </xdr:from>
    <xdr:ext cx="2624373" cy="38036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30DC143-ED34-4807-B069-520ED66222DD}"/>
                </a:ext>
              </a:extLst>
            </xdr:cNvPr>
            <xdr:cNvSpPr txBox="1"/>
          </xdr:nvSpPr>
          <xdr:spPr>
            <a:xfrm>
              <a:off x="4312972" y="2581538"/>
              <a:ext cx="262437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𝑈𝑡𝑖𝑙𝑖𝑑𝑎𝑑</m:t>
                            </m:r>
                            <m:r>
                              <a:rPr lang="es-CO" sz="1100" b="0" i="1">
                                <a:latin typeface="Cambria Math" panose="02040503050406030204" pitchFamily="18" charset="0"/>
                              </a:rPr>
                              <m:t> </m:t>
                            </m:r>
                            <m:r>
                              <a:rPr lang="es-CO" sz="1100" b="0" i="1">
                                <a:latin typeface="Cambria Math" panose="02040503050406030204" pitchFamily="18" charset="0"/>
                              </a:rPr>
                              <m:t>𝑠𝑜𝑏𝑟𝑒</m:t>
                            </m:r>
                            <m:r>
                              <a:rPr lang="es-CO" sz="1100" b="0" i="1">
                                <a:latin typeface="Cambria Math" panose="02040503050406030204" pitchFamily="18" charset="0"/>
                              </a:rPr>
                              <m:t> </m:t>
                            </m:r>
                            <m:r>
                              <a:rPr lang="es-CO" sz="1100" b="0" i="1">
                                <a:latin typeface="Cambria Math" panose="02040503050406030204" pitchFamily="18" charset="0"/>
                              </a:rPr>
                              <m:t>𝑃𝑙𝑎𝑡</m:t>
                            </m:r>
                            <m:r>
                              <a:rPr lang="es-CO" sz="1100" b="0" i="1">
                                <a:latin typeface="Cambria Math" panose="02040503050406030204" pitchFamily="18" charset="0"/>
                              </a:rPr>
                              <m:t>. </m:t>
                            </m:r>
                            <m:r>
                              <a:rPr lang="es-CO" sz="1100" b="0" i="1">
                                <a:latin typeface="Cambria Math" panose="02040503050406030204" pitchFamily="18" charset="0"/>
                              </a:rPr>
                              <m:t>𝑉𝑖𝑟𝑡𝑢𝑎𝑙</m:t>
                            </m:r>
                          </m:num>
                          <m:den>
                            <m:r>
                              <a:rPr lang="es-CO" sz="1100" b="0" i="1">
                                <a:latin typeface="Cambria Math" panose="02040503050406030204" pitchFamily="18" charset="0"/>
                              </a:rPr>
                              <m:t>𝐼𝑛𝑔𝑟𝑒𝑠𝑜</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𝑣𝑒𝑛𝑡𝑎𝑠</m:t>
                            </m:r>
                            <m:r>
                              <a:rPr lang="es-CO" sz="1100" b="0" i="1">
                                <a:latin typeface="Cambria Math" panose="02040503050406030204" pitchFamily="18" charset="0"/>
                              </a:rPr>
                              <m:t> </m:t>
                            </m:r>
                            <m:r>
                              <a:rPr lang="es-CO" sz="1100" b="0" i="1">
                                <a:latin typeface="Cambria Math" panose="02040503050406030204" pitchFamily="18" charset="0"/>
                              </a:rPr>
                              <m:t>𝑃𝑙𝑎𝑡</m:t>
                            </m:r>
                            <m:r>
                              <a:rPr lang="es-CO" sz="1100" b="0" i="1">
                                <a:latin typeface="Cambria Math" panose="02040503050406030204" pitchFamily="18" charset="0"/>
                              </a:rPr>
                              <m:t>. </m:t>
                            </m:r>
                            <m:r>
                              <a:rPr lang="es-CO" sz="1100" b="0" i="1">
                                <a:latin typeface="Cambria Math" panose="02040503050406030204" pitchFamily="18" charset="0"/>
                              </a:rPr>
                              <m:t>𝑉𝑖𝑟𝑡𝑢𝑎𝑙</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0" name="TextBox 9">
              <a:extLst>
                <a:ext uri="{FF2B5EF4-FFF2-40B4-BE49-F238E27FC236}">
                  <a16:creationId xmlns:a16="http://schemas.microsoft.com/office/drawing/2014/main" id="{F30DC143-ED34-4807-B069-520ED66222DD}"/>
                </a:ext>
              </a:extLst>
            </xdr:cNvPr>
            <xdr:cNvSpPr txBox="1"/>
          </xdr:nvSpPr>
          <xdr:spPr>
            <a:xfrm>
              <a:off x="4312972" y="2581538"/>
              <a:ext cx="262437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((𝑈𝑡𝑖𝑙𝑖𝑑𝑎𝑑 𝑠𝑜𝑏𝑟𝑒 𝑃𝑙𝑎𝑡. 𝑉𝑖𝑟𝑡𝑢𝑎𝑙)/(𝐼𝑛𝑔𝑟𝑒𝑠𝑜 𝑝𝑜𝑟 𝑣𝑒𝑛𝑡𝑎𝑠 𝑃𝑙𝑎𝑡. 𝑉𝑖𝑟𝑡𝑢𝑎𝑙))∗100 </a:t>
              </a:r>
              <a:endParaRPr lang="es-CO" sz="1100"/>
            </a:p>
          </xdr:txBody>
        </xdr:sp>
      </mc:Fallback>
    </mc:AlternateContent>
    <xdr:clientData/>
  </xdr:oneCellAnchor>
  <xdr:oneCellAnchor>
    <xdr:from>
      <xdr:col>3</xdr:col>
      <xdr:colOff>631559</xdr:colOff>
      <xdr:row>15</xdr:row>
      <xdr:rowOff>174094</xdr:rowOff>
    </xdr:from>
    <xdr:ext cx="1848711" cy="38036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9220E4F-7C44-4745-A2C3-B71AAD883A2F}"/>
                </a:ext>
              </a:extLst>
            </xdr:cNvPr>
            <xdr:cNvSpPr txBox="1"/>
          </xdr:nvSpPr>
          <xdr:spPr>
            <a:xfrm>
              <a:off x="4679684" y="3245907"/>
              <a:ext cx="1848711"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𝑉𝑒𝑛𝑡𝑎𝑠</m:t>
                            </m:r>
                            <m:r>
                              <a:rPr lang="es-CO" sz="1100" b="0" i="1">
                                <a:latin typeface="Cambria Math" panose="02040503050406030204" pitchFamily="18" charset="0"/>
                              </a:rPr>
                              <m:t> </m:t>
                            </m:r>
                            <m:r>
                              <a:rPr lang="es-CO" sz="1100" b="0" i="1">
                                <a:latin typeface="Cambria Math" panose="02040503050406030204" pitchFamily="18" charset="0"/>
                              </a:rPr>
                              <m:t>𝑃𝑙𝑎𝑡</m:t>
                            </m:r>
                            <m:r>
                              <a:rPr lang="es-CO" sz="1100" b="0" i="1">
                                <a:latin typeface="Cambria Math" panose="02040503050406030204" pitchFamily="18" charset="0"/>
                              </a:rPr>
                              <m:t>. </m:t>
                            </m:r>
                            <m:r>
                              <a:rPr lang="es-CO" sz="1100" b="0" i="1">
                                <a:latin typeface="Cambria Math" panose="02040503050406030204" pitchFamily="18" charset="0"/>
                              </a:rPr>
                              <m:t>𝑉𝑖𝑟𝑡𝑢𝑎𝑙</m:t>
                            </m:r>
                          </m:num>
                          <m:den>
                            <m:r>
                              <a:rPr lang="es-CO" sz="1100" b="0" i="1">
                                <a:latin typeface="Cambria Math" panose="02040503050406030204" pitchFamily="18" charset="0"/>
                              </a:rPr>
                              <m:t>𝑃𝑎𝑡𝑟𝑖𝑚𝑜𝑛𝑖𝑜</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1" name="TextBox 10">
              <a:extLst>
                <a:ext uri="{FF2B5EF4-FFF2-40B4-BE49-F238E27FC236}">
                  <a16:creationId xmlns:a16="http://schemas.microsoft.com/office/drawing/2014/main" id="{49220E4F-7C44-4745-A2C3-B71AAD883A2F}"/>
                </a:ext>
              </a:extLst>
            </xdr:cNvPr>
            <xdr:cNvSpPr txBox="1"/>
          </xdr:nvSpPr>
          <xdr:spPr>
            <a:xfrm>
              <a:off x="4679684" y="3245907"/>
              <a:ext cx="1848711"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((𝑉𝑒𝑛𝑡𝑎𝑠 𝑃𝑙𝑎𝑡. 𝑉𝑖𝑟𝑡𝑢𝑎𝑙)/𝑃𝑎𝑡𝑟𝑖𝑚𝑜𝑛𝑖𝑜)∗100 </a:t>
              </a:r>
              <a:endParaRPr lang="es-CO" sz="1100"/>
            </a:p>
          </xdr:txBody>
        </xdr:sp>
      </mc:Fallback>
    </mc:AlternateContent>
    <xdr:clientData/>
  </xdr:oneCellAnchor>
  <xdr:oneCellAnchor>
    <xdr:from>
      <xdr:col>3</xdr:col>
      <xdr:colOff>19578</xdr:colOff>
      <xdr:row>18</xdr:row>
      <xdr:rowOff>85987</xdr:rowOff>
    </xdr:from>
    <xdr:ext cx="3568926" cy="38036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DE222EF-7742-4F59-AB34-DD63C835CB96}"/>
                </a:ext>
              </a:extLst>
            </xdr:cNvPr>
            <xdr:cNvSpPr txBox="1"/>
          </xdr:nvSpPr>
          <xdr:spPr>
            <a:xfrm>
              <a:off x="4067703" y="5003268"/>
              <a:ext cx="3568926"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𝑃𝑟𝑜𝑑𝑢𝑐𝑡𝑜𝑠</m:t>
                            </m:r>
                            <m:r>
                              <a:rPr lang="es-CO" sz="1100" b="0" i="1">
                                <a:latin typeface="Cambria Math" panose="02040503050406030204" pitchFamily="18" charset="0"/>
                              </a:rPr>
                              <m:t> </m:t>
                            </m:r>
                            <m:r>
                              <a:rPr lang="es-CO" sz="1100" b="0" i="1">
                                <a:latin typeface="Cambria Math" panose="02040503050406030204" pitchFamily="18" charset="0"/>
                              </a:rPr>
                              <m:t>𝑐𝑟𝑒𝑎𝑑𝑜𝑠</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𝑐𝑙𝑖𝑒𝑛𝑡𝑒𝑠</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𝑃𝑙𝑎𝑡</m:t>
                            </m:r>
                            <m:r>
                              <a:rPr lang="es-CO" sz="1100" b="0" i="1">
                                <a:latin typeface="Cambria Math" panose="02040503050406030204" pitchFamily="18" charset="0"/>
                              </a:rPr>
                              <m:t>. </m:t>
                            </m:r>
                            <m:r>
                              <a:rPr lang="es-CO" sz="1100" b="0" i="1">
                                <a:latin typeface="Cambria Math" panose="02040503050406030204" pitchFamily="18" charset="0"/>
                              </a:rPr>
                              <m:t>𝑉𝑖𝑟𝑡𝑢𝑎𝑙</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𝑃𝑟𝑜𝑑𝑢𝑐𝑡𝑜𝑠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2" name="TextBox 11">
              <a:extLst>
                <a:ext uri="{FF2B5EF4-FFF2-40B4-BE49-F238E27FC236}">
                  <a16:creationId xmlns:a16="http://schemas.microsoft.com/office/drawing/2014/main" id="{1DE222EF-7742-4F59-AB34-DD63C835CB96}"/>
                </a:ext>
              </a:extLst>
            </xdr:cNvPr>
            <xdr:cNvSpPr txBox="1"/>
          </xdr:nvSpPr>
          <xdr:spPr>
            <a:xfrm>
              <a:off x="4067703" y="5003268"/>
              <a:ext cx="3568926"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((𝑃𝑟𝑜𝑑𝑢𝑐𝑡𝑜𝑠 𝑐𝑟𝑒𝑎𝑑𝑜𝑠 𝑝𝑜𝑟 𝑐𝑙𝑖𝑒𝑛𝑡𝑒𝑠 𝑒𝑛 𝑃𝑙𝑎𝑡. 𝑉𝑖𝑟𝑡𝑢𝑎𝑙)/(𝑇𝑜𝑡𝑎𝑙 𝑃𝑟𝑜𝑑𝑢𝑐𝑡𝑜𝑠))∗100 </a:t>
              </a:r>
              <a:endParaRPr lang="es-CO" sz="1100"/>
            </a:p>
          </xdr:txBody>
        </xdr:sp>
      </mc:Fallback>
    </mc:AlternateContent>
    <xdr:clientData/>
  </xdr:oneCellAnchor>
  <xdr:oneCellAnchor>
    <xdr:from>
      <xdr:col>3</xdr:col>
      <xdr:colOff>279135</xdr:colOff>
      <xdr:row>19</xdr:row>
      <xdr:rowOff>47887</xdr:rowOff>
    </xdr:from>
    <xdr:ext cx="3132268" cy="38036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D5DA95-79EA-4D61-A070-3A73B0CE086E}"/>
                </a:ext>
              </a:extLst>
            </xdr:cNvPr>
            <xdr:cNvSpPr txBox="1"/>
          </xdr:nvSpPr>
          <xdr:spPr>
            <a:xfrm>
              <a:off x="4334064" y="5517958"/>
              <a:ext cx="313226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𝐶𝑎𝑙𝑖𝑓𝑖𝑐𝑎𝑐𝑖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𝑜𝑏𝑡𝑒𝑛𝑖𝑑𝑎</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𝑙𝑎</m:t>
                            </m:r>
                            <m:r>
                              <a:rPr lang="es-CO" sz="1100" b="0" i="1">
                                <a:latin typeface="Cambria Math" panose="02040503050406030204" pitchFamily="18" charset="0"/>
                              </a:rPr>
                              <m:t> </m:t>
                            </m:r>
                            <m:r>
                              <a:rPr lang="es-CO" sz="1100" b="0" i="1">
                                <a:latin typeface="Cambria Math" panose="02040503050406030204" pitchFamily="18" charset="0"/>
                              </a:rPr>
                              <m:t>𝑃𝑙𝑎𝑡</m:t>
                            </m:r>
                            <m:r>
                              <a:rPr lang="es-CO" sz="1100" b="0" i="1">
                                <a:latin typeface="Cambria Math" panose="02040503050406030204" pitchFamily="18" charset="0"/>
                              </a:rPr>
                              <m:t>. </m:t>
                            </m:r>
                            <m:r>
                              <a:rPr lang="es-CO" sz="1100" b="0" i="1">
                                <a:latin typeface="Cambria Math" panose="02040503050406030204" pitchFamily="18" charset="0"/>
                              </a:rPr>
                              <m:t>𝑉𝑖𝑟𝑡𝑢𝑎𝑙</m:t>
                            </m:r>
                          </m:num>
                          <m:den>
                            <m:r>
                              <a:rPr lang="es-CO" sz="1100" b="0" i="1">
                                <a:latin typeface="Cambria Math" panose="02040503050406030204" pitchFamily="18" charset="0"/>
                              </a:rPr>
                              <m:t>𝑃𝑢𝑛𝑡𝑎𝑗𝑒</m:t>
                            </m:r>
                            <m:r>
                              <a:rPr lang="es-CO" sz="1100" b="0" i="1">
                                <a:latin typeface="Cambria Math" panose="02040503050406030204" pitchFamily="18" charset="0"/>
                              </a:rPr>
                              <m:t> </m:t>
                            </m:r>
                            <m:r>
                              <a:rPr lang="es-CO" sz="1100" b="0" i="1">
                                <a:latin typeface="Cambria Math" panose="02040503050406030204" pitchFamily="18" charset="0"/>
                              </a:rPr>
                              <m:t>𝑚</m:t>
                            </m:r>
                            <m:r>
                              <a:rPr lang="es-CO" sz="1100" b="0" i="1">
                                <a:latin typeface="Cambria Math" panose="02040503050406030204" pitchFamily="18" charset="0"/>
                              </a:rPr>
                              <m:t>á</m:t>
                            </m:r>
                            <m:r>
                              <a:rPr lang="es-CO" sz="1100" b="0" i="1">
                                <a:latin typeface="Cambria Math" panose="02040503050406030204" pitchFamily="18" charset="0"/>
                              </a:rPr>
                              <m:t>𝑥𝑖𝑚𝑜</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3" name="TextBox 12">
              <a:extLst>
                <a:ext uri="{FF2B5EF4-FFF2-40B4-BE49-F238E27FC236}">
                  <a16:creationId xmlns:a16="http://schemas.microsoft.com/office/drawing/2014/main" id="{4CD5DA95-79EA-4D61-A070-3A73B0CE086E}"/>
                </a:ext>
              </a:extLst>
            </xdr:cNvPr>
            <xdr:cNvSpPr txBox="1"/>
          </xdr:nvSpPr>
          <xdr:spPr>
            <a:xfrm>
              <a:off x="4334064" y="5517958"/>
              <a:ext cx="313226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((𝐶𝑎𝑙𝑖𝑓𝑖𝑐𝑎𝑐𝑖ó𝑛 𝑜𝑏𝑡𝑒𝑛𝑖𝑑𝑎 𝑒𝑛 𝑙𝑎 𝑃𝑙𝑎𝑡. 𝑉𝑖𝑟𝑡𝑢𝑎𝑙)/(𝑃𝑢𝑛𝑡𝑎𝑗𝑒 𝑚á𝑥𝑖𝑚𝑜))∗100 </a:t>
              </a:r>
              <a:endParaRPr lang="es-CO" sz="1100"/>
            </a:p>
          </xdr:txBody>
        </xdr:sp>
      </mc:Fallback>
    </mc:AlternateContent>
    <xdr:clientData/>
  </xdr:oneCellAnchor>
  <xdr:oneCellAnchor>
    <xdr:from>
      <xdr:col>3</xdr:col>
      <xdr:colOff>507207</xdr:colOff>
      <xdr:row>22</xdr:row>
      <xdr:rowOff>98688</xdr:rowOff>
    </xdr:from>
    <xdr:ext cx="2329164" cy="380361"/>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8491A92-78B9-4C63-9423-0459D56CFE82}"/>
                </a:ext>
              </a:extLst>
            </xdr:cNvPr>
            <xdr:cNvSpPr txBox="1"/>
          </xdr:nvSpPr>
          <xdr:spPr>
            <a:xfrm>
              <a:off x="4555332" y="7266251"/>
              <a:ext cx="232916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𝑁𝑜</m:t>
                            </m:r>
                            <m:r>
                              <a:rPr lang="es-CO" sz="1100" b="0" i="1">
                                <a:latin typeface="Cambria Math" panose="02040503050406030204" pitchFamily="18" charset="0"/>
                              </a:rPr>
                              <m:t>. </m:t>
                            </m:r>
                            <m:r>
                              <a:rPr lang="es-CO" sz="1100" b="0" i="1">
                                <a:latin typeface="Cambria Math" panose="02040503050406030204" pitchFamily="18" charset="0"/>
                              </a:rPr>
                              <m:t>𝐶𝑜𝑛𝑡𝑟𝑜𝑙𝑒𝑠</m:t>
                            </m:r>
                            <m:r>
                              <a:rPr lang="es-CO" sz="1100" b="0" i="1">
                                <a:latin typeface="Cambria Math" panose="02040503050406030204" pitchFamily="18" charset="0"/>
                              </a:rPr>
                              <m:t> </m:t>
                            </m:r>
                            <m:r>
                              <a:rPr lang="es-CO" sz="1100" b="0" i="1">
                                <a:latin typeface="Cambria Math" panose="02040503050406030204" pitchFamily="18" charset="0"/>
                              </a:rPr>
                              <m:t>𝑎𝑢𝑡𝑜𝑚</m:t>
                            </m:r>
                            <m:r>
                              <a:rPr lang="es-CO" sz="1100" b="0" i="1">
                                <a:latin typeface="Cambria Math" panose="02040503050406030204" pitchFamily="18" charset="0"/>
                              </a:rPr>
                              <m:t>á</m:t>
                            </m:r>
                            <m:r>
                              <a:rPr lang="es-CO" sz="1100" b="0" i="1">
                                <a:latin typeface="Cambria Math" panose="02040503050406030204" pitchFamily="18" charset="0"/>
                              </a:rPr>
                              <m:t>𝑡𝑖𝑐𝑜𝑠</m:t>
                            </m:r>
                            <m:r>
                              <a:rPr lang="es-CO" sz="1100" b="0" i="1">
                                <a:latin typeface="Cambria Math" panose="02040503050406030204" pitchFamily="18" charset="0"/>
                              </a:rPr>
                              <m:t> </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𝐶𝑜𝑛𝑡𝑟𝑜𝑙𝑒𝑠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4" name="TextBox 13">
              <a:extLst>
                <a:ext uri="{FF2B5EF4-FFF2-40B4-BE49-F238E27FC236}">
                  <a16:creationId xmlns:a16="http://schemas.microsoft.com/office/drawing/2014/main" id="{48491A92-78B9-4C63-9423-0459D56CFE82}"/>
                </a:ext>
              </a:extLst>
            </xdr:cNvPr>
            <xdr:cNvSpPr txBox="1"/>
          </xdr:nvSpPr>
          <xdr:spPr>
            <a:xfrm>
              <a:off x="4555332" y="7266251"/>
              <a:ext cx="232916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((𝑁𝑜. 𝐶𝑜𝑛𝑡𝑟𝑜𝑙𝑒𝑠 𝑎𝑢𝑡𝑜𝑚á𝑡𝑖𝑐𝑜𝑠 )/(𝑇𝑜𝑡𝑎𝑙 𝐶𝑜𝑛𝑡𝑟𝑜𝑙𝑒𝑠))∗100 </a:t>
              </a:r>
              <a:endParaRPr lang="es-CO" sz="1100"/>
            </a:p>
          </xdr:txBody>
        </xdr:sp>
      </mc:Fallback>
    </mc:AlternateContent>
    <xdr:clientData/>
  </xdr:oneCellAnchor>
  <xdr:oneCellAnchor>
    <xdr:from>
      <xdr:col>3</xdr:col>
      <xdr:colOff>481013</xdr:colOff>
      <xdr:row>23</xdr:row>
      <xdr:rowOff>60589</xdr:rowOff>
    </xdr:from>
    <xdr:ext cx="2121798" cy="380361"/>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C96F969F-375D-4772-96A8-8218EDC980C7}"/>
                </a:ext>
              </a:extLst>
            </xdr:cNvPr>
            <xdr:cNvSpPr txBox="1"/>
          </xdr:nvSpPr>
          <xdr:spPr>
            <a:xfrm>
              <a:off x="4535942" y="7789446"/>
              <a:ext cx="212179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𝑆𝑜𝑙𝑢𝑐𝑖𝑜𝑛𝑒𝑠</m:t>
                            </m:r>
                            <m:r>
                              <a:rPr lang="es-CO" sz="1100" b="0" i="1">
                                <a:latin typeface="Cambria Math" panose="02040503050406030204" pitchFamily="18" charset="0"/>
                              </a:rPr>
                              <m:t> </m:t>
                            </m:r>
                            <m:r>
                              <a:rPr lang="es-CO" sz="1100" b="0" i="1">
                                <a:latin typeface="Cambria Math" panose="02040503050406030204" pitchFamily="18" charset="0"/>
                              </a:rPr>
                              <m:t>𝑎𝑙</m:t>
                            </m:r>
                            <m:r>
                              <a:rPr lang="es-CO" sz="1100" b="0" i="1">
                                <a:latin typeface="Cambria Math" panose="02040503050406030204" pitchFamily="18" charset="0"/>
                              </a:rPr>
                              <m:t> </m:t>
                            </m:r>
                            <m:r>
                              <a:rPr lang="es-CO" sz="1100" b="0" i="1">
                                <a:latin typeface="Cambria Math" panose="02040503050406030204" pitchFamily="18" charset="0"/>
                              </a:rPr>
                              <m:t>𝑚𝑒𝑠</m:t>
                            </m:r>
                            <m:r>
                              <a:rPr lang="es-CO" sz="1100" b="0" i="1">
                                <a:latin typeface="Cambria Math" panose="02040503050406030204" pitchFamily="18" charset="0"/>
                              </a:rPr>
                              <m:t> </m:t>
                            </m:r>
                          </m:num>
                          <m:den>
                            <m:r>
                              <a:rPr lang="es-CO" sz="1100" b="0" i="1">
                                <a:solidFill>
                                  <a:schemeClr val="tx1"/>
                                </a:solidFill>
                                <a:effectLst/>
                                <a:latin typeface="Cambria Math" panose="02040503050406030204" pitchFamily="18" charset="0"/>
                                <a:ea typeface="+mn-ea"/>
                                <a:cs typeface="+mn-cs"/>
                              </a:rPr>
                              <m:t>𝑁𝑜</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𝑓𝑎𝑙𝑙𝑎𝑠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𝑒𝑛</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h𝑎𝑟𝑑𝑤𝑎𝑟𝑒</m:t>
                            </m:r>
                            <m:r>
                              <a:rPr lang="es-CO" sz="1100" b="0" i="1">
                                <a:solidFill>
                                  <a:schemeClr val="tx1"/>
                                </a:solidFill>
                                <a:effectLst/>
                                <a:latin typeface="Cambria Math" panose="02040503050406030204" pitchFamily="18" charset="0"/>
                                <a:ea typeface="+mn-ea"/>
                                <a:cs typeface="+mn-cs"/>
                              </a:rPr>
                              <m:t> </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5" name="TextBox 14">
              <a:extLst>
                <a:ext uri="{FF2B5EF4-FFF2-40B4-BE49-F238E27FC236}">
                  <a16:creationId xmlns:a16="http://schemas.microsoft.com/office/drawing/2014/main" id="{C96F969F-375D-4772-96A8-8218EDC980C7}"/>
                </a:ext>
              </a:extLst>
            </xdr:cNvPr>
            <xdr:cNvSpPr txBox="1"/>
          </xdr:nvSpPr>
          <xdr:spPr>
            <a:xfrm>
              <a:off x="4535942" y="7789446"/>
              <a:ext cx="212179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((𝑆𝑜𝑙𝑢𝑐𝑖𝑜𝑛𝑒𝑠 𝑎𝑙 𝑚𝑒𝑠 )/(</a:t>
              </a:r>
              <a:r>
                <a:rPr lang="es-CO" sz="1100" b="0" i="0">
                  <a:solidFill>
                    <a:schemeClr val="tx1"/>
                  </a:solidFill>
                  <a:effectLst/>
                  <a:latin typeface="+mn-lt"/>
                  <a:ea typeface="+mn-ea"/>
                  <a:cs typeface="+mn-cs"/>
                </a:rPr>
                <a:t>𝑁𝑜.  𝑓𝑎𝑙𝑙𝑎𝑠 𝑒𝑛 ℎ𝑎𝑟𝑑𝑤𝑎𝑟𝑒 </a:t>
              </a:r>
              <a:r>
                <a:rPr lang="es-CO" sz="1100" b="0" i="0">
                  <a:solidFill>
                    <a:schemeClr val="tx1"/>
                  </a:solidFill>
                  <a:effectLst/>
                  <a:latin typeface="Cambria Math" panose="02040503050406030204" pitchFamily="18" charset="0"/>
                  <a:ea typeface="+mn-ea"/>
                  <a:cs typeface="+mn-cs"/>
                </a:rPr>
                <a:t>))</a:t>
              </a:r>
              <a:r>
                <a:rPr lang="es-CO" sz="1100" b="0" i="0">
                  <a:latin typeface="Cambria Math" panose="02040503050406030204" pitchFamily="18" charset="0"/>
                </a:rPr>
                <a:t>∗100 </a:t>
              </a:r>
              <a:endParaRPr lang="es-CO" sz="1100"/>
            </a:p>
          </xdr:txBody>
        </xdr:sp>
      </mc:Fallback>
    </mc:AlternateContent>
    <xdr:clientData/>
  </xdr:oneCellAnchor>
  <xdr:oneCellAnchor>
    <xdr:from>
      <xdr:col>3</xdr:col>
      <xdr:colOff>497680</xdr:colOff>
      <xdr:row>27</xdr:row>
      <xdr:rowOff>37571</xdr:rowOff>
    </xdr:from>
    <xdr:ext cx="2276264" cy="380361"/>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9EDF6F7-1F97-4610-9360-501E9D7AE721}"/>
                </a:ext>
              </a:extLst>
            </xdr:cNvPr>
            <xdr:cNvSpPr txBox="1"/>
          </xdr:nvSpPr>
          <xdr:spPr>
            <a:xfrm>
              <a:off x="4545805" y="9764977"/>
              <a:ext cx="227626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𝐺𝑎𝑠𝑡𝑜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𝑓𝑜𝑟𝑚𝑎𝑐𝑖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num>
                          <m:den>
                            <m:r>
                              <a:rPr lang="es-CO" sz="1100" b="0" i="1">
                                <a:latin typeface="Cambria Math" panose="02040503050406030204" pitchFamily="18" charset="0"/>
                              </a:rPr>
                              <m:t>𝑁𝑜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𝑒𝑚𝑝𝑙𝑒𝑎𝑑𝑜𝑠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6" name="TextBox 15">
              <a:extLst>
                <a:ext uri="{FF2B5EF4-FFF2-40B4-BE49-F238E27FC236}">
                  <a16:creationId xmlns:a16="http://schemas.microsoft.com/office/drawing/2014/main" id="{19EDF6F7-1F97-4610-9360-501E9D7AE721}"/>
                </a:ext>
              </a:extLst>
            </xdr:cNvPr>
            <xdr:cNvSpPr txBox="1"/>
          </xdr:nvSpPr>
          <xdr:spPr>
            <a:xfrm>
              <a:off x="4545805" y="9764977"/>
              <a:ext cx="227626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((𝐺𝑎𝑠𝑡𝑜 𝑑𝑒 𝑓𝑜𝑟𝑚𝑎𝑐𝑖ó𝑛 𝑑𝑒 𝑇.𝐼)/(𝑁𝑜. 𝑑𝑒 𝑒𝑚𝑝𝑙𝑒𝑎𝑑𝑜𝑠))∗100 </a:t>
              </a:r>
              <a:endParaRPr lang="es-CO" sz="1100"/>
            </a:p>
          </xdr:txBody>
        </xdr:sp>
      </mc:Fallback>
    </mc:AlternateContent>
    <xdr:clientData/>
  </xdr:oneCellAnchor>
  <xdr:oneCellAnchor>
    <xdr:from>
      <xdr:col>3</xdr:col>
      <xdr:colOff>483393</xdr:colOff>
      <xdr:row>28</xdr:row>
      <xdr:rowOff>47096</xdr:rowOff>
    </xdr:from>
    <xdr:ext cx="2276264" cy="380361"/>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3E434CC4-3B35-4FEB-82E9-6B6CB7C176C6}"/>
                </a:ext>
              </a:extLst>
            </xdr:cNvPr>
            <xdr:cNvSpPr txBox="1"/>
          </xdr:nvSpPr>
          <xdr:spPr>
            <a:xfrm>
              <a:off x="4531518" y="10238846"/>
              <a:ext cx="227626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𝐺𝑎𝑠𝑡𝑜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𝑓𝑜𝑟𝑚𝑎𝑐𝑖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num>
                          <m:den>
                            <m:r>
                              <a:rPr lang="es-CO" sz="1100" b="0" i="1">
                                <a:latin typeface="Cambria Math" panose="02040503050406030204" pitchFamily="18" charset="0"/>
                              </a:rPr>
                              <m:t>𝐺𝑎𝑠𝑡𝑜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𝑝𝑒𝑟𝑠𝑜𝑛𝑎𝑙</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7" name="TextBox 16">
              <a:extLst>
                <a:ext uri="{FF2B5EF4-FFF2-40B4-BE49-F238E27FC236}">
                  <a16:creationId xmlns:a16="http://schemas.microsoft.com/office/drawing/2014/main" id="{3E434CC4-3B35-4FEB-82E9-6B6CB7C176C6}"/>
                </a:ext>
              </a:extLst>
            </xdr:cNvPr>
            <xdr:cNvSpPr txBox="1"/>
          </xdr:nvSpPr>
          <xdr:spPr>
            <a:xfrm>
              <a:off x="4531518" y="10238846"/>
              <a:ext cx="2276264"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((𝐺𝑎𝑠𝑡𝑜 𝑑𝑒 𝑓𝑜𝑟𝑚𝑎𝑐𝑖ó𝑛 𝑑𝑒 𝑇.𝐼)/(𝐺𝑎𝑠𝑡𝑜 𝑑𝑒 𝑝𝑒𝑟𝑠𝑜𝑛𝑎𝑙))∗100 </a:t>
              </a:r>
              <a:endParaRPr lang="es-CO" sz="1100"/>
            </a:p>
          </xdr:txBody>
        </xdr:sp>
      </mc:Fallback>
    </mc:AlternateContent>
    <xdr:clientData/>
  </xdr:oneCellAnchor>
  <xdr:oneCellAnchor>
    <xdr:from>
      <xdr:col>3</xdr:col>
      <xdr:colOff>504824</xdr:colOff>
      <xdr:row>29</xdr:row>
      <xdr:rowOff>32809</xdr:rowOff>
    </xdr:from>
    <xdr:ext cx="2304157" cy="380361"/>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B871E38C-70B8-4940-9673-D8E537FA8B01}"/>
                </a:ext>
              </a:extLst>
            </xdr:cNvPr>
            <xdr:cNvSpPr txBox="1"/>
          </xdr:nvSpPr>
          <xdr:spPr>
            <a:xfrm>
              <a:off x="4552949" y="10712715"/>
              <a:ext cx="230415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𝐻𝑜𝑟𝑎𝑠</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𝐹𝑜𝑟𝑚𝑎𝑐𝑖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num>
                          <m:den>
                            <m:r>
                              <a:rPr lang="es-CO" sz="1100" b="0" i="1">
                                <a:latin typeface="Cambria Math" panose="02040503050406030204" pitchFamily="18" charset="0"/>
                              </a:rPr>
                              <m:t>𝐻𝑜𝑟𝑎𝑠</m:t>
                            </m:r>
                            <m:r>
                              <a:rPr lang="es-CO" sz="1100" b="0" i="1">
                                <a:latin typeface="Cambria Math" panose="02040503050406030204" pitchFamily="18" charset="0"/>
                              </a:rPr>
                              <m:t> </m:t>
                            </m:r>
                            <m:r>
                              <a:rPr lang="es-CO" sz="1100" b="0" i="1">
                                <a:latin typeface="Cambria Math" panose="02040503050406030204" pitchFamily="18" charset="0"/>
                              </a:rPr>
                              <m:t>𝑡𝑟𝑎𝑏𝑎𝑗𝑎𝑑𝑎𝑠</m:t>
                            </m:r>
                            <m:r>
                              <a:rPr lang="es-CO" sz="1100" b="0" i="1">
                                <a:latin typeface="Cambria Math" panose="02040503050406030204" pitchFamily="18" charset="0"/>
                              </a:rPr>
                              <m:t> </m:t>
                            </m:r>
                            <m:r>
                              <a:rPr lang="es-CO" sz="1100" b="0" i="1">
                                <a:latin typeface="Cambria Math" panose="02040503050406030204" pitchFamily="18" charset="0"/>
                              </a:rPr>
                              <m:t>𝑎𝑙</m:t>
                            </m:r>
                            <m:r>
                              <a:rPr lang="es-CO" sz="1100" b="0" i="1">
                                <a:latin typeface="Cambria Math" panose="02040503050406030204" pitchFamily="18" charset="0"/>
                              </a:rPr>
                              <m:t> </m:t>
                            </m:r>
                            <m:r>
                              <a:rPr lang="es-CO" sz="1100" b="0" i="1">
                                <a:latin typeface="Cambria Math" panose="02040503050406030204" pitchFamily="18" charset="0"/>
                              </a:rPr>
                              <m:t>𝑚𝑒𝑠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18" name="TextBox 17">
              <a:extLst>
                <a:ext uri="{FF2B5EF4-FFF2-40B4-BE49-F238E27FC236}">
                  <a16:creationId xmlns:a16="http://schemas.microsoft.com/office/drawing/2014/main" id="{B871E38C-70B8-4940-9673-D8E537FA8B01}"/>
                </a:ext>
              </a:extLst>
            </xdr:cNvPr>
            <xdr:cNvSpPr txBox="1"/>
          </xdr:nvSpPr>
          <xdr:spPr>
            <a:xfrm>
              <a:off x="4552949" y="10712715"/>
              <a:ext cx="230415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((𝐻𝑜𝑟𝑎𝑠 𝑒𝑛 𝐹𝑜𝑟𝑚𝑎𝑐𝑖ó𝑛 𝑑𝑒 𝑇.𝐼)/(𝐻𝑜𝑟𝑎𝑠 𝑡𝑟𝑎𝑏𝑎𝑗𝑎𝑑𝑎𝑠 𝑎𝑙 𝑚𝑒𝑠))∗100 </a:t>
              </a:r>
              <a:endParaRPr lang="es-CO" sz="1100"/>
            </a:p>
          </xdr:txBody>
        </xdr:sp>
      </mc:Fallback>
    </mc:AlternateContent>
    <xdr:clientData/>
  </xdr:oneCellAnchor>
  <xdr:oneCellAnchor>
    <xdr:from>
      <xdr:col>3</xdr:col>
      <xdr:colOff>300038</xdr:colOff>
      <xdr:row>24</xdr:row>
      <xdr:rowOff>58208</xdr:rowOff>
    </xdr:from>
    <xdr:ext cx="2807493" cy="346605"/>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E28E4A2-A7A1-4203-8C6E-70A23DF7C8EA}"/>
                </a:ext>
              </a:extLst>
            </xdr:cNvPr>
            <xdr:cNvSpPr txBox="1"/>
          </xdr:nvSpPr>
          <xdr:spPr>
            <a:xfrm>
              <a:off x="4348163" y="8285427"/>
              <a:ext cx="2807493" cy="346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r>
                          <a:rPr lang="es-CO" sz="1100" b="0" i="1">
                            <a:latin typeface="Cambria Math" panose="02040503050406030204" pitchFamily="18" charset="0"/>
                          </a:rPr>
                          <m:t>#</m:t>
                        </m:r>
                        <m:r>
                          <a:rPr lang="es-CO" sz="1100" b="0" i="1">
                            <a:latin typeface="Cambria Math" panose="02040503050406030204" pitchFamily="18" charset="0"/>
                          </a:rPr>
                          <m:t>h𝑜𝑟𝑎𝑠</m:t>
                        </m:r>
                        <m:r>
                          <a:rPr lang="es-CO" sz="1100" b="0" i="1">
                            <a:latin typeface="Cambria Math" panose="02040503050406030204" pitchFamily="18" charset="0"/>
                          </a:rPr>
                          <m:t> </m:t>
                        </m:r>
                        <m:r>
                          <a:rPr lang="es-CO" sz="1100" b="0" i="1">
                            <a:latin typeface="Cambria Math" panose="02040503050406030204" pitchFamily="18" charset="0"/>
                          </a:rPr>
                          <m:t>𝑝𝑟𝑜𝑐𝑒𝑠𝑜𝑠</m:t>
                        </m:r>
                        <m:r>
                          <a:rPr lang="es-CO" sz="1100" b="0" i="1">
                            <a:latin typeface="Cambria Math" panose="02040503050406030204" pitchFamily="18" charset="0"/>
                          </a:rPr>
                          <m:t> </m:t>
                        </m:r>
                        <m:r>
                          <a:rPr lang="es-CO" sz="1100" b="0" i="1">
                            <a:latin typeface="Cambria Math" panose="02040503050406030204" pitchFamily="18" charset="0"/>
                          </a:rPr>
                          <m:t>𝑖𝑚𝑝𝑙𝑒𝑚𝑒𝑛𝑡𝑎𝑑𝑜𝑠</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r>
                          <a:rPr lang="es-CO" sz="1100" b="0" i="1">
                            <a:latin typeface="Cambria Math" panose="02040503050406030204" pitchFamily="18" charset="0"/>
                          </a:rPr>
                          <m:t>−#</m:t>
                        </m:r>
                        <m:r>
                          <a:rPr lang="es-CO" sz="1100" b="0" i="1">
                            <a:latin typeface="Cambria Math" panose="02040503050406030204" pitchFamily="18" charset="0"/>
                          </a:rPr>
                          <m:t>h𝑜𝑟𝑎𝑠</m:t>
                        </m:r>
                        <m:r>
                          <a:rPr lang="es-CO" sz="1100" b="0" i="1">
                            <a:latin typeface="Cambria Math" panose="02040503050406030204" pitchFamily="18" charset="0"/>
                          </a:rPr>
                          <m:t> </m:t>
                        </m:r>
                        <m:r>
                          <a:rPr lang="es-CO" sz="1100" b="0" i="1">
                            <a:latin typeface="Cambria Math" panose="02040503050406030204" pitchFamily="18" charset="0"/>
                          </a:rPr>
                          <m:t>𝑝𝑟𝑜𝑐𝑒𝑠𝑜𝑠</m:t>
                        </m:r>
                        <m:func>
                          <m:funcPr>
                            <m:ctrlPr>
                              <a:rPr lang="es-CO" sz="1100" b="0" i="1">
                                <a:latin typeface="Cambria Math" panose="02040503050406030204" pitchFamily="18" charset="0"/>
                              </a:rPr>
                            </m:ctrlPr>
                          </m:funcPr>
                          <m:fName>
                            <m:r>
                              <m:rPr>
                                <m:sty m:val="p"/>
                              </m:rPr>
                              <a:rPr lang="es-CO" sz="1100" b="0" i="0">
                                <a:latin typeface="Cambria Math" panose="02040503050406030204" pitchFamily="18" charset="0"/>
                              </a:rPr>
                              <m:t>sin</m:t>
                            </m:r>
                          </m:fName>
                          <m:e>
                            <m:r>
                              <a:rPr lang="es-CO" sz="1100" b="0" i="1">
                                <a:latin typeface="Cambria Math" panose="02040503050406030204" pitchFamily="18" charset="0"/>
                              </a:rPr>
                              <m:t>𝑖𝑚𝑝𝑙𝑒𝑚𝑒𝑛𝑡𝑎𝑐𝑖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e>
                        </m:func>
                      </m:e>
                    </m:d>
                    <m:r>
                      <a:rPr lang="es-CO" sz="1100" b="0" i="1">
                        <a:latin typeface="Cambria Math" panose="02040503050406030204" pitchFamily="18" charset="0"/>
                      </a:rPr>
                      <m:t> </m:t>
                    </m:r>
                  </m:oMath>
                </m:oMathPara>
              </a14:m>
              <a:endParaRPr lang="es-CO" sz="1100"/>
            </a:p>
          </xdr:txBody>
        </xdr:sp>
      </mc:Choice>
      <mc:Fallback xmlns="">
        <xdr:sp macro="" textlink="">
          <xdr:nvSpPr>
            <xdr:cNvPr id="20" name="TextBox 19">
              <a:extLst>
                <a:ext uri="{FF2B5EF4-FFF2-40B4-BE49-F238E27FC236}">
                  <a16:creationId xmlns:a16="http://schemas.microsoft.com/office/drawing/2014/main" id="{4E28E4A2-A7A1-4203-8C6E-70A23DF7C8EA}"/>
                </a:ext>
              </a:extLst>
            </xdr:cNvPr>
            <xdr:cNvSpPr txBox="1"/>
          </xdr:nvSpPr>
          <xdr:spPr>
            <a:xfrm>
              <a:off x="4348163" y="8285427"/>
              <a:ext cx="2807493" cy="346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0" i="0">
                  <a:latin typeface="Cambria Math" panose="02040503050406030204" pitchFamily="18" charset="0"/>
                </a:rPr>
                <a:t>(#ℎ𝑜𝑟𝑎𝑠 𝑝𝑟𝑜𝑐𝑒𝑠𝑜𝑠 𝑖𝑚𝑝𝑙𝑒𝑚𝑒𝑛𝑡𝑎𝑑𝑜𝑠 𝑇.𝐼−#ℎ𝑜𝑟𝑎𝑠 𝑝𝑟𝑜𝑐𝑒𝑠𝑜𝑠 sin⁡〖𝑖𝑚𝑝𝑙𝑒𝑚𝑒𝑛𝑡𝑎𝑐𝑖ó𝑛 𝑇.𝐼〗 )  </a:t>
              </a:r>
              <a:endParaRPr lang="es-CO" sz="1100"/>
            </a:p>
          </xdr:txBody>
        </xdr:sp>
      </mc:Fallback>
    </mc:AlternateContent>
    <xdr:clientData/>
  </xdr:oneCellAnchor>
  <xdr:oneCellAnchor>
    <xdr:from>
      <xdr:col>3</xdr:col>
      <xdr:colOff>442913</xdr:colOff>
      <xdr:row>25</xdr:row>
      <xdr:rowOff>58208</xdr:rowOff>
    </xdr:from>
    <xdr:ext cx="2902205" cy="380361"/>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693A8121-4AB4-4024-8465-CBB395364B5B}"/>
                </a:ext>
              </a:extLst>
            </xdr:cNvPr>
            <xdr:cNvSpPr txBox="1"/>
          </xdr:nvSpPr>
          <xdr:spPr>
            <a:xfrm>
              <a:off x="4491038" y="8785489"/>
              <a:ext cx="2902205"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𝑅𝑒𝑐𝑙𝑢𝑡𝑎𝑚𝑖𝑒𝑛𝑡𝑜</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𝑚𝑒𝑑𝑖𝑜𝑠</m:t>
                            </m:r>
                            <m:r>
                              <a:rPr lang="es-CO" sz="1100" b="0" i="1">
                                <a:latin typeface="Cambria Math" panose="02040503050406030204" pitchFamily="18" charset="0"/>
                              </a:rPr>
                              <m:t> </m:t>
                            </m:r>
                            <m:r>
                              <a:rPr lang="es-CO" sz="1100" b="0" i="1">
                                <a:latin typeface="Cambria Math" panose="02040503050406030204" pitchFamily="18" charset="0"/>
                              </a:rPr>
                              <m:t>𝑑𝑖𝑔𝑖𝑡𝑎𝑙𝑒𝑠</m:t>
                            </m:r>
                            <m:r>
                              <a:rPr lang="es-CO" sz="1100" b="0" i="1">
                                <a:latin typeface="Cambria Math" panose="02040503050406030204" pitchFamily="18" charset="0"/>
                              </a:rPr>
                              <m:t> </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𝐼𝑛𝑔𝑟𝑒𝑠𝑜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𝑝𝑒𝑟𝑠𝑜𝑛𝑎𝑙</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21" name="TextBox 20">
              <a:extLst>
                <a:ext uri="{FF2B5EF4-FFF2-40B4-BE49-F238E27FC236}">
                  <a16:creationId xmlns:a16="http://schemas.microsoft.com/office/drawing/2014/main" id="{693A8121-4AB4-4024-8465-CBB395364B5B}"/>
                </a:ext>
              </a:extLst>
            </xdr:cNvPr>
            <xdr:cNvSpPr txBox="1"/>
          </xdr:nvSpPr>
          <xdr:spPr>
            <a:xfrm>
              <a:off x="4491038" y="8785489"/>
              <a:ext cx="2902205"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((𝑅𝑒𝑐𝑙𝑢𝑡𝑎𝑚𝑖𝑒𝑛𝑡𝑜 𝑝𝑜𝑟 𝑚𝑒𝑑𝑖𝑜𝑠 𝑑𝑖𝑔𝑖𝑡𝑎𝑙𝑒𝑠 )/(𝑇𝑜𝑡𝑎𝑙 𝐼𝑛𝑔𝑟𝑒𝑠𝑜 𝑑𝑒 𝑝𝑒𝑟𝑠𝑜𝑛𝑎𝑙))∗100 </a:t>
              </a:r>
              <a:endParaRPr lang="es-CO" sz="1100"/>
            </a:p>
          </xdr:txBody>
        </xdr:sp>
      </mc:Fallback>
    </mc:AlternateContent>
    <xdr:clientData/>
  </xdr:oneCellAnchor>
  <xdr:oneCellAnchor>
    <xdr:from>
      <xdr:col>3</xdr:col>
      <xdr:colOff>300038</xdr:colOff>
      <xdr:row>30</xdr:row>
      <xdr:rowOff>78053</xdr:rowOff>
    </xdr:from>
    <xdr:ext cx="3085268" cy="38036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E880D3E7-23C5-46CA-9F62-903F283904E0}"/>
                </a:ext>
              </a:extLst>
            </xdr:cNvPr>
            <xdr:cNvSpPr txBox="1"/>
          </xdr:nvSpPr>
          <xdr:spPr>
            <a:xfrm>
              <a:off x="4348163" y="11234209"/>
              <a:ext cx="308526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𝐼𝑛𝑣𝑒𝑟𝑠𝑖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r>
                              <a:rPr lang="es-CO" sz="1100" b="0" i="1">
                                <a:latin typeface="Cambria Math" panose="02040503050406030204" pitchFamily="18" charset="0"/>
                              </a:rPr>
                              <m:t> </m:t>
                            </m:r>
                            <m:r>
                              <a:rPr lang="es-CO" sz="1100" b="0" i="1">
                                <a:latin typeface="Cambria Math" panose="02040503050406030204" pitchFamily="18" charset="0"/>
                              </a:rPr>
                              <m:t>𝐵𝑎𝑡𝑖𝑓𝑟𝑢𝑖𝑡</m:t>
                            </m:r>
                            <m:r>
                              <a:rPr lang="es-CO" sz="1100" b="0" i="1">
                                <a:latin typeface="Cambria Math" panose="02040503050406030204" pitchFamily="18" charset="0"/>
                              </a:rPr>
                              <m:t>´</m:t>
                            </m:r>
                            <m:r>
                              <a:rPr lang="es-CO" sz="1100" b="0" i="1">
                                <a:latin typeface="Cambria Math" panose="02040503050406030204" pitchFamily="18" charset="0"/>
                              </a:rPr>
                              <m:t>𝑠</m:t>
                            </m:r>
                          </m:num>
                          <m:den>
                            <m:r>
                              <a:rPr lang="es-CO" sz="1100" b="0" i="1">
                                <a:latin typeface="Cambria Math" panose="02040503050406030204" pitchFamily="18" charset="0"/>
                              </a:rPr>
                              <m:t>𝐼𝑛𝑣𝑒𝑟𝑠𝑖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𝑇</m:t>
                            </m:r>
                            <m:r>
                              <a:rPr lang="es-CO" sz="1100" b="0" i="1">
                                <a:latin typeface="Cambria Math" panose="02040503050406030204" pitchFamily="18" charset="0"/>
                              </a:rPr>
                              <m:t>.</m:t>
                            </m:r>
                            <m:r>
                              <a:rPr lang="es-CO" sz="1100" b="0" i="1">
                                <a:latin typeface="Cambria Math" panose="02040503050406030204" pitchFamily="18" charset="0"/>
                              </a:rPr>
                              <m:t>𝐼</m:t>
                            </m:r>
                            <m:r>
                              <a:rPr lang="es-CO" sz="1100" b="0" i="1">
                                <a:latin typeface="Cambria Math" panose="02040503050406030204" pitchFamily="18" charset="0"/>
                              </a:rPr>
                              <m:t> </m:t>
                            </m:r>
                            <m:r>
                              <a:rPr lang="es-CO" sz="1100" b="0" i="1">
                                <a:latin typeface="Cambria Math" panose="02040503050406030204" pitchFamily="18" charset="0"/>
                              </a:rPr>
                              <m:t>𝑝𝑟𝑜𝑚𝑒𝑑𝑖𝑜</m:t>
                            </m:r>
                            <m:r>
                              <a:rPr lang="es-CO" sz="1100" b="0" i="1">
                                <a:latin typeface="Cambria Math" panose="02040503050406030204" pitchFamily="18" charset="0"/>
                              </a:rPr>
                              <m:t> </m:t>
                            </m:r>
                            <m:r>
                              <a:rPr lang="es-CO" sz="1100" b="0" i="1">
                                <a:latin typeface="Cambria Math" panose="02040503050406030204" pitchFamily="18" charset="0"/>
                              </a:rPr>
                              <m:t>𝑑𝑒𝑙</m:t>
                            </m:r>
                            <m:r>
                              <a:rPr lang="es-CO" sz="1100" b="0" i="1">
                                <a:latin typeface="Cambria Math" panose="02040503050406030204" pitchFamily="18" charset="0"/>
                              </a:rPr>
                              <m:t> </m:t>
                            </m:r>
                            <m:r>
                              <a:rPr lang="es-CO" sz="1100" b="0" i="1">
                                <a:latin typeface="Cambria Math" panose="02040503050406030204" pitchFamily="18" charset="0"/>
                              </a:rPr>
                              <m:t>𝑚𝑒𝑟𝑐𝑎𝑑𝑜</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22" name="TextBox 21">
              <a:extLst>
                <a:ext uri="{FF2B5EF4-FFF2-40B4-BE49-F238E27FC236}">
                  <a16:creationId xmlns:a16="http://schemas.microsoft.com/office/drawing/2014/main" id="{E880D3E7-23C5-46CA-9F62-903F283904E0}"/>
                </a:ext>
              </a:extLst>
            </xdr:cNvPr>
            <xdr:cNvSpPr txBox="1"/>
          </xdr:nvSpPr>
          <xdr:spPr>
            <a:xfrm>
              <a:off x="4348163" y="11234209"/>
              <a:ext cx="308526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0" i="0">
                  <a:latin typeface="Cambria Math" panose="02040503050406030204" pitchFamily="18" charset="0"/>
                </a:rPr>
                <a:t>((𝐼𝑛𝑣𝑒𝑟𝑠𝑖ó𝑛 𝑒𝑛 𝑇.𝐼 𝐵𝑎𝑡𝑖𝑓𝑟𝑢𝑖𝑡´𝑠)/(𝐼𝑛𝑣𝑒𝑟𝑠𝑖ó𝑛 𝑒𝑛 𝑇.𝐼 𝑝𝑟𝑜𝑚𝑒𝑑𝑖𝑜 𝑑𝑒𝑙 𝑚𝑒𝑟𝑐𝑎𝑑𝑜))∗100 </a:t>
              </a:r>
              <a:endParaRPr lang="es-CO" sz="1100"/>
            </a:p>
          </xdr:txBody>
        </xdr:sp>
      </mc:Fallback>
    </mc:AlternateContent>
    <xdr:clientData/>
  </xdr:oneCellAnchor>
  <xdr:oneCellAnchor>
    <xdr:from>
      <xdr:col>3</xdr:col>
      <xdr:colOff>170278</xdr:colOff>
      <xdr:row>20</xdr:row>
      <xdr:rowOff>102316</xdr:rowOff>
    </xdr:from>
    <xdr:ext cx="3456716" cy="380361"/>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D699CEAD-C376-483E-9CE9-868784AE139B}"/>
                </a:ext>
              </a:extLst>
            </xdr:cNvPr>
            <xdr:cNvSpPr txBox="1"/>
          </xdr:nvSpPr>
          <xdr:spPr>
            <a:xfrm>
              <a:off x="4551778" y="6116673"/>
              <a:ext cx="3456716"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100" b="0" i="1">
                            <a:latin typeface="Cambria Math" panose="02040503050406030204" pitchFamily="18" charset="0"/>
                          </a:rPr>
                        </m:ctrlPr>
                      </m:dPr>
                      <m:e>
                        <m:f>
                          <m:fPr>
                            <m:ctrlPr>
                              <a:rPr lang="es-CO" sz="1100" b="0" i="1">
                                <a:latin typeface="Cambria Math" panose="02040503050406030204" pitchFamily="18" charset="0"/>
                              </a:rPr>
                            </m:ctrlPr>
                          </m:fPr>
                          <m:num>
                            <m:r>
                              <a:rPr lang="es-CO" sz="1100" b="0" i="1">
                                <a:latin typeface="Cambria Math" panose="02040503050406030204" pitchFamily="18" charset="0"/>
                              </a:rPr>
                              <m:t>𝑅𝑒𝑐𝑎𝑢𝑑𝑜𝑠</m:t>
                            </m:r>
                            <m:r>
                              <a:rPr lang="es-CO" sz="1100" b="0" i="1">
                                <a:latin typeface="Cambria Math" panose="02040503050406030204" pitchFamily="18" charset="0"/>
                              </a:rPr>
                              <m:t> </m:t>
                            </m:r>
                            <m:r>
                              <a:rPr lang="es-CO" sz="1100" b="0" i="1">
                                <a:latin typeface="Cambria Math" panose="02040503050406030204" pitchFamily="18" charset="0"/>
                              </a:rPr>
                              <m:t>𝑝𝑜𝑟</m:t>
                            </m:r>
                            <m:r>
                              <a:rPr lang="es-CO" sz="1100" b="0" i="1">
                                <a:latin typeface="Cambria Math" panose="02040503050406030204" pitchFamily="18" charset="0"/>
                              </a:rPr>
                              <m:t> </m:t>
                            </m:r>
                            <m:r>
                              <a:rPr lang="es-CO" sz="1100" b="0" i="1">
                                <a:latin typeface="Cambria Math" panose="02040503050406030204" pitchFamily="18" charset="0"/>
                              </a:rPr>
                              <m:t>𝑚𝑒𝑑𝑖𝑜</m:t>
                            </m:r>
                            <m:r>
                              <a:rPr lang="es-CO" sz="1100" b="0" i="1">
                                <a:latin typeface="Cambria Math" panose="02040503050406030204" pitchFamily="18" charset="0"/>
                              </a:rPr>
                              <m:t> </m:t>
                            </m:r>
                            <m:r>
                              <a:rPr lang="es-CO" sz="1100" b="0" i="1">
                                <a:latin typeface="Cambria Math" panose="02040503050406030204" pitchFamily="18" charset="0"/>
                              </a:rPr>
                              <m:t>𝑆𝑢𝑐𝑢𝑟𝑠𝑎𝑙</m:t>
                            </m:r>
                            <m:r>
                              <a:rPr lang="es-CO" sz="1100" b="0" i="1">
                                <a:latin typeface="Cambria Math" panose="02040503050406030204" pitchFamily="18" charset="0"/>
                              </a:rPr>
                              <m:t> </m:t>
                            </m:r>
                            <m:r>
                              <a:rPr lang="es-CO" sz="1100" b="0" i="1">
                                <a:latin typeface="Cambria Math" panose="02040503050406030204" pitchFamily="18" charset="0"/>
                              </a:rPr>
                              <m:t>𝑉𝑖𝑟𝑡𝑢𝑎𝑙</m:t>
                            </m:r>
                            <m:r>
                              <a:rPr lang="es-CO" sz="1100" b="0" i="1">
                                <a:latin typeface="Cambria Math" panose="02040503050406030204" pitchFamily="18" charset="0"/>
                              </a:rPr>
                              <m:t> </m:t>
                            </m:r>
                            <m:r>
                              <a:rPr lang="es-CO" sz="1100" b="0" i="1">
                                <a:latin typeface="Cambria Math" panose="02040503050406030204" pitchFamily="18" charset="0"/>
                              </a:rPr>
                              <m:t>𝐵𝑎𝑛𝑐𝑜𝑠</m:t>
                            </m:r>
                          </m:num>
                          <m:den>
                            <m:r>
                              <a:rPr lang="es-CO" sz="1100" b="0" i="1">
                                <a:latin typeface="Cambria Math" panose="02040503050406030204" pitchFamily="18" charset="0"/>
                              </a:rPr>
                              <m:t>𝑇𝑜𝑡𝑎𝑙</m:t>
                            </m:r>
                            <m:r>
                              <a:rPr lang="es-CO" sz="1100" b="0" i="1">
                                <a:latin typeface="Cambria Math" panose="02040503050406030204" pitchFamily="18" charset="0"/>
                              </a:rPr>
                              <m:t> </m:t>
                            </m:r>
                            <m:r>
                              <a:rPr lang="es-CO" sz="1100" b="0" i="1">
                                <a:latin typeface="Cambria Math" panose="02040503050406030204" pitchFamily="18" charset="0"/>
                              </a:rPr>
                              <m:t>𝑅𝑒𝑐𝑎𝑢𝑑𝑜𝑠</m:t>
                            </m:r>
                            <m:r>
                              <a:rPr lang="es-CO" sz="1100" b="0" i="1">
                                <a:latin typeface="Cambria Math" panose="02040503050406030204" pitchFamily="18" charset="0"/>
                              </a:rPr>
                              <m:t> </m:t>
                            </m:r>
                            <m:r>
                              <a:rPr lang="es-CO" sz="1100" b="0" i="1">
                                <a:latin typeface="Cambria Math" panose="02040503050406030204" pitchFamily="18" charset="0"/>
                              </a:rPr>
                              <m:t>𝐴𝑛𝑢𝑎𝑙𝑒𝑠</m:t>
                            </m:r>
                          </m:den>
                        </m:f>
                      </m:e>
                    </m:d>
                    <m:r>
                      <a:rPr lang="es-CO" sz="1100" b="0" i="1">
                        <a:latin typeface="Cambria Math" panose="02040503050406030204" pitchFamily="18" charset="0"/>
                      </a:rPr>
                      <m:t>∗100 </m:t>
                    </m:r>
                  </m:oMath>
                </m:oMathPara>
              </a14:m>
              <a:endParaRPr lang="es-CO" sz="1100"/>
            </a:p>
          </xdr:txBody>
        </xdr:sp>
      </mc:Choice>
      <mc:Fallback xmlns="">
        <xdr:sp macro="" textlink="">
          <xdr:nvSpPr>
            <xdr:cNvPr id="23" name="TextBox 22">
              <a:extLst>
                <a:ext uri="{FF2B5EF4-FFF2-40B4-BE49-F238E27FC236}">
                  <a16:creationId xmlns:a16="http://schemas.microsoft.com/office/drawing/2014/main" id="{D699CEAD-C376-483E-9CE9-868784AE139B}"/>
                </a:ext>
              </a:extLst>
            </xdr:cNvPr>
            <xdr:cNvSpPr txBox="1"/>
          </xdr:nvSpPr>
          <xdr:spPr>
            <a:xfrm>
              <a:off x="4551778" y="6116673"/>
              <a:ext cx="3456716"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0" i="0">
                  <a:latin typeface="Cambria Math" panose="02040503050406030204" pitchFamily="18" charset="0"/>
                </a:rPr>
                <a:t>((𝑅𝑒𝑐𝑎𝑢𝑑𝑜𝑠 𝑝𝑜𝑟 𝑚𝑒𝑑𝑖𝑜 𝑆𝑢𝑐𝑢𝑟𝑠𝑎𝑙 𝑉𝑖𝑟𝑡𝑢𝑎𝑙 𝐵𝑎𝑛𝑐𝑜𝑠)/(𝑇𝑜𝑡𝑎𝑙 𝑅𝑒𝑐𝑎𝑢𝑑𝑜𝑠 𝐴𝑛𝑢𝑎𝑙𝑒𝑠))∗100 </a:t>
              </a:r>
              <a:endParaRPr lang="es-CO" sz="1100"/>
            </a:p>
          </xdr:txBody>
        </xdr:sp>
      </mc:Fallback>
    </mc:AlternateContent>
    <xdr:clientData/>
  </xdr:oneCellAnchor>
  <xdr:twoCellAnchor editAs="oneCell">
    <xdr:from>
      <xdr:col>1</xdr:col>
      <xdr:colOff>70185</xdr:colOff>
      <xdr:row>0</xdr:row>
      <xdr:rowOff>0</xdr:rowOff>
    </xdr:from>
    <xdr:to>
      <xdr:col>1</xdr:col>
      <xdr:colOff>1241609</xdr:colOff>
      <xdr:row>5</xdr:row>
      <xdr:rowOff>170834</xdr:rowOff>
    </xdr:to>
    <xdr:pic>
      <xdr:nvPicPr>
        <xdr:cNvPr id="24" name="Picture 23">
          <a:extLst>
            <a:ext uri="{FF2B5EF4-FFF2-40B4-BE49-F238E27FC236}">
              <a16:creationId xmlns:a16="http://schemas.microsoft.com/office/drawing/2014/main" id="{89EC7BA6-C117-4D63-AFBA-167F2B958F21}"/>
            </a:ext>
          </a:extLst>
        </xdr:cNvPr>
        <xdr:cNvPicPr>
          <a:picLocks noChangeAspect="1"/>
        </xdr:cNvPicPr>
      </xdr:nvPicPr>
      <xdr:blipFill>
        <a:blip xmlns:r="http://schemas.openxmlformats.org/officeDocument/2006/relationships" r:embed="rId1"/>
        <a:stretch>
          <a:fillRect/>
        </a:stretch>
      </xdr:blipFill>
      <xdr:spPr>
        <a:xfrm>
          <a:off x="1233238" y="0"/>
          <a:ext cx="1171424" cy="1123334"/>
        </a:xfrm>
        <a:prstGeom prst="rect">
          <a:avLst/>
        </a:prstGeom>
      </xdr:spPr>
    </xdr:pic>
    <xdr:clientData/>
  </xdr:twoCellAnchor>
  <xdr:twoCellAnchor editAs="oneCell">
    <xdr:from>
      <xdr:col>11</xdr:col>
      <xdr:colOff>82218</xdr:colOff>
      <xdr:row>0</xdr:row>
      <xdr:rowOff>0</xdr:rowOff>
    </xdr:from>
    <xdr:to>
      <xdr:col>11</xdr:col>
      <xdr:colOff>1253642</xdr:colOff>
      <xdr:row>5</xdr:row>
      <xdr:rowOff>170834</xdr:rowOff>
    </xdr:to>
    <xdr:pic>
      <xdr:nvPicPr>
        <xdr:cNvPr id="25" name="Picture 24">
          <a:extLst>
            <a:ext uri="{FF2B5EF4-FFF2-40B4-BE49-F238E27FC236}">
              <a16:creationId xmlns:a16="http://schemas.microsoft.com/office/drawing/2014/main" id="{0771677B-6A4E-45F7-92CE-48FEA7F9F5E1}"/>
            </a:ext>
          </a:extLst>
        </xdr:cNvPr>
        <xdr:cNvPicPr>
          <a:picLocks noChangeAspect="1"/>
        </xdr:cNvPicPr>
      </xdr:nvPicPr>
      <xdr:blipFill>
        <a:blip xmlns:r="http://schemas.openxmlformats.org/officeDocument/2006/relationships" r:embed="rId1"/>
        <a:stretch>
          <a:fillRect/>
        </a:stretch>
      </xdr:blipFill>
      <xdr:spPr>
        <a:xfrm>
          <a:off x="14670507" y="0"/>
          <a:ext cx="1171424" cy="1123334"/>
        </a:xfrm>
        <a:prstGeom prst="rect">
          <a:avLst/>
        </a:prstGeom>
      </xdr:spPr>
    </xdr:pic>
    <xdr:clientData/>
  </xdr:twoCellAnchor>
  <xdr:oneCellAnchor>
    <xdr:from>
      <xdr:col>3</xdr:col>
      <xdr:colOff>2667000</xdr:colOff>
      <xdr:row>0</xdr:row>
      <xdr:rowOff>163286</xdr:rowOff>
    </xdr:from>
    <xdr:ext cx="4387996" cy="781111"/>
    <xdr:sp macro="" textlink="">
      <xdr:nvSpPr>
        <xdr:cNvPr id="26" name="Rectangle 25">
          <a:extLst>
            <a:ext uri="{FF2B5EF4-FFF2-40B4-BE49-F238E27FC236}">
              <a16:creationId xmlns:a16="http://schemas.microsoft.com/office/drawing/2014/main" id="{53F71FEE-5A41-4683-AE1D-002D9136C1EC}"/>
            </a:ext>
          </a:extLst>
        </xdr:cNvPr>
        <xdr:cNvSpPr/>
      </xdr:nvSpPr>
      <xdr:spPr>
        <a:xfrm>
          <a:off x="6994071" y="163286"/>
          <a:ext cx="4387996" cy="781111"/>
        </a:xfrm>
        <a:prstGeom prst="rect">
          <a:avLst/>
        </a:prstGeom>
        <a:noFill/>
      </xdr:spPr>
      <xdr:txBody>
        <a:bodyPr wrap="none" lIns="91440" tIns="45720" rIns="91440" bIns="45720">
          <a:spAutoFit/>
        </a:bodyPr>
        <a:lstStyle/>
        <a:p>
          <a:pPr algn="ctr"/>
          <a:r>
            <a:rPr lang="en-US" sz="4400" b="1" cap="none" spc="0">
              <a:ln w="22225">
                <a:solidFill>
                  <a:schemeClr val="accent2"/>
                </a:solidFill>
                <a:prstDash val="solid"/>
              </a:ln>
              <a:solidFill>
                <a:schemeClr val="accent2">
                  <a:lumMod val="40000"/>
                  <a:lumOff val="60000"/>
                </a:schemeClr>
              </a:solidFill>
              <a:effectLst/>
            </a:rPr>
            <a:t>BATIFRUIT´S</a:t>
          </a:r>
          <a:r>
            <a:rPr lang="en-US" sz="4400" b="1" cap="none" spc="0" baseline="0">
              <a:ln w="22225">
                <a:solidFill>
                  <a:schemeClr val="accent2"/>
                </a:solidFill>
                <a:prstDash val="solid"/>
              </a:ln>
              <a:solidFill>
                <a:schemeClr val="accent2">
                  <a:lumMod val="40000"/>
                  <a:lumOff val="60000"/>
                </a:schemeClr>
              </a:solidFill>
              <a:effectLst/>
            </a:rPr>
            <a:t> S.A.S</a:t>
          </a:r>
          <a:endParaRPr lang="en-US" sz="4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1047750</xdr:colOff>
      <xdr:row>27</xdr:row>
      <xdr:rowOff>19050</xdr:rowOff>
    </xdr:from>
    <xdr:to>
      <xdr:col>0</xdr:col>
      <xdr:colOff>2061569</xdr:colOff>
      <xdr:row>29</xdr:row>
      <xdr:rowOff>104231</xdr:rowOff>
    </xdr:to>
    <xdr:sp macro="" textlink="">
      <xdr:nvSpPr>
        <xdr:cNvPr id="2" name="Cuadro de texto 2">
          <a:extLst>
            <a:ext uri="{FF2B5EF4-FFF2-40B4-BE49-F238E27FC236}">
              <a16:creationId xmlns:a16="http://schemas.microsoft.com/office/drawing/2014/main" id="{382A10E5-5E70-440E-91A5-3BE7B3E6CDA0}"/>
            </a:ext>
          </a:extLst>
        </xdr:cNvPr>
        <xdr:cNvSpPr txBox="1">
          <a:spLocks noChangeArrowheads="1"/>
        </xdr:cNvSpPr>
      </xdr:nvSpPr>
      <xdr:spPr bwMode="auto">
        <a:xfrm>
          <a:off x="1047750" y="5505450"/>
          <a:ext cx="1013819" cy="4661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s-CO" sz="1100">
              <a:effectLst/>
              <a:latin typeface="Times New Roman" panose="02020603050405020304" pitchFamily="18" charset="0"/>
              <a:ea typeface="Calibri" panose="020F0502020204030204" pitchFamily="34" charset="0"/>
              <a:cs typeface="Times New Roman" panose="02020603050405020304" pitchFamily="18" charset="0"/>
            </a:rPr>
            <a:t>ORIGINAL FIRMADO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133350</xdr:colOff>
      <xdr:row>27</xdr:row>
      <xdr:rowOff>104775</xdr:rowOff>
    </xdr:from>
    <xdr:to>
      <xdr:col>8</xdr:col>
      <xdr:colOff>528044</xdr:colOff>
      <xdr:row>29</xdr:row>
      <xdr:rowOff>189956</xdr:rowOff>
    </xdr:to>
    <xdr:sp macro="" textlink="">
      <xdr:nvSpPr>
        <xdr:cNvPr id="3" name="Cuadro de texto 2">
          <a:extLst>
            <a:ext uri="{FF2B5EF4-FFF2-40B4-BE49-F238E27FC236}">
              <a16:creationId xmlns:a16="http://schemas.microsoft.com/office/drawing/2014/main" id="{DA3325B5-D824-4E07-A2A0-C5146CA6CC7C}"/>
            </a:ext>
          </a:extLst>
        </xdr:cNvPr>
        <xdr:cNvSpPr txBox="1">
          <a:spLocks noChangeArrowheads="1"/>
        </xdr:cNvSpPr>
      </xdr:nvSpPr>
      <xdr:spPr bwMode="auto">
        <a:xfrm>
          <a:off x="6276975" y="5591175"/>
          <a:ext cx="966194" cy="4661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s-CO" sz="1100">
              <a:effectLst/>
              <a:latin typeface="Times New Roman" panose="02020603050405020304" pitchFamily="18" charset="0"/>
              <a:ea typeface="Calibri" panose="020F0502020204030204" pitchFamily="34" charset="0"/>
              <a:cs typeface="Times New Roman" panose="02020603050405020304" pitchFamily="18" charset="0"/>
            </a:rPr>
            <a:t>ORIGINAL FIRMADO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8</xdr:col>
      <xdr:colOff>762000</xdr:colOff>
      <xdr:row>1</xdr:row>
      <xdr:rowOff>38100</xdr:rowOff>
    </xdr:from>
    <xdr:ext cx="913815" cy="876300"/>
    <xdr:pic>
      <xdr:nvPicPr>
        <xdr:cNvPr id="4" name="Imagen 3">
          <a:extLst>
            <a:ext uri="{FF2B5EF4-FFF2-40B4-BE49-F238E27FC236}">
              <a16:creationId xmlns:a16="http://schemas.microsoft.com/office/drawing/2014/main" id="{6EFD3C50-1160-43F5-84FE-DE9A2FF0A537}"/>
            </a:ext>
          </a:extLst>
        </xdr:cNvPr>
        <xdr:cNvPicPr>
          <a:picLocks noChangeAspect="1"/>
        </xdr:cNvPicPr>
      </xdr:nvPicPr>
      <xdr:blipFill>
        <a:blip xmlns:r="http://schemas.openxmlformats.org/officeDocument/2006/relationships" r:embed="rId1"/>
        <a:stretch>
          <a:fillRect/>
        </a:stretch>
      </xdr:blipFill>
      <xdr:spPr>
        <a:xfrm>
          <a:off x="7477125" y="228600"/>
          <a:ext cx="913815" cy="876300"/>
        </a:xfrm>
        <a:prstGeom prst="rect">
          <a:avLst/>
        </a:prstGeom>
      </xdr:spPr>
    </xdr:pic>
    <xdr:clientData/>
  </xdr:oneCellAnchor>
  <xdr:oneCellAnchor>
    <xdr:from>
      <xdr:col>0</xdr:col>
      <xdr:colOff>66675</xdr:colOff>
      <xdr:row>1</xdr:row>
      <xdr:rowOff>28574</xdr:rowOff>
    </xdr:from>
    <xdr:ext cx="824420" cy="790575"/>
    <xdr:pic>
      <xdr:nvPicPr>
        <xdr:cNvPr id="5" name="Imagen 4">
          <a:extLst>
            <a:ext uri="{FF2B5EF4-FFF2-40B4-BE49-F238E27FC236}">
              <a16:creationId xmlns:a16="http://schemas.microsoft.com/office/drawing/2014/main" id="{C67BB0A7-8BA0-47DC-8678-8419A97445C8}"/>
            </a:ext>
          </a:extLst>
        </xdr:cNvPr>
        <xdr:cNvPicPr>
          <a:picLocks noChangeAspect="1"/>
        </xdr:cNvPicPr>
      </xdr:nvPicPr>
      <xdr:blipFill>
        <a:blip xmlns:r="http://schemas.openxmlformats.org/officeDocument/2006/relationships" r:embed="rId1"/>
        <a:stretch>
          <a:fillRect/>
        </a:stretch>
      </xdr:blipFill>
      <xdr:spPr>
        <a:xfrm>
          <a:off x="66675" y="219074"/>
          <a:ext cx="824420" cy="790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1261546</xdr:colOff>
      <xdr:row>53</xdr:row>
      <xdr:rowOff>180562</xdr:rowOff>
    </xdr:from>
    <xdr:to>
      <xdr:col>0</xdr:col>
      <xdr:colOff>3329800</xdr:colOff>
      <xdr:row>55</xdr:row>
      <xdr:rowOff>34778</xdr:rowOff>
    </xdr:to>
    <xdr:sp macro="" textlink="">
      <xdr:nvSpPr>
        <xdr:cNvPr id="2" name="Cuadro de texto 2">
          <a:extLst>
            <a:ext uri="{FF2B5EF4-FFF2-40B4-BE49-F238E27FC236}">
              <a16:creationId xmlns:a16="http://schemas.microsoft.com/office/drawing/2014/main" id="{E06EA7FC-9E0A-48D3-8C47-5B69A00927D9}"/>
            </a:ext>
          </a:extLst>
        </xdr:cNvPr>
        <xdr:cNvSpPr txBox="1">
          <a:spLocks noChangeArrowheads="1"/>
        </xdr:cNvSpPr>
      </xdr:nvSpPr>
      <xdr:spPr bwMode="auto">
        <a:xfrm>
          <a:off x="1261546" y="10305637"/>
          <a:ext cx="2068254" cy="23521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s-CO" sz="1100">
              <a:effectLst/>
              <a:latin typeface="Times New Roman" panose="02020603050405020304" pitchFamily="18" charset="0"/>
              <a:ea typeface="Calibri" panose="020F0502020204030204" pitchFamily="34" charset="0"/>
              <a:cs typeface="Times New Roman" panose="02020603050405020304" pitchFamily="18" charset="0"/>
            </a:rPr>
            <a:t>ORIGINAL FIRMADO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162621</xdr:colOff>
      <xdr:row>0</xdr:row>
      <xdr:rowOff>162623</xdr:rowOff>
    </xdr:from>
    <xdr:to>
      <xdr:col>8</xdr:col>
      <xdr:colOff>216862</xdr:colOff>
      <xdr:row>5</xdr:row>
      <xdr:rowOff>109655</xdr:rowOff>
    </xdr:to>
    <xdr:pic>
      <xdr:nvPicPr>
        <xdr:cNvPr id="3" name="Imagen 3">
          <a:extLst>
            <a:ext uri="{FF2B5EF4-FFF2-40B4-BE49-F238E27FC236}">
              <a16:creationId xmlns:a16="http://schemas.microsoft.com/office/drawing/2014/main" id="{9753F259-E523-4AF0-A65D-0E9492CD07CB}"/>
            </a:ext>
          </a:extLst>
        </xdr:cNvPr>
        <xdr:cNvPicPr>
          <a:picLocks noChangeAspect="1"/>
        </xdr:cNvPicPr>
      </xdr:nvPicPr>
      <xdr:blipFill>
        <a:blip xmlns:r="http://schemas.openxmlformats.org/officeDocument/2006/relationships" r:embed="rId1"/>
        <a:stretch>
          <a:fillRect/>
        </a:stretch>
      </xdr:blipFill>
      <xdr:spPr>
        <a:xfrm>
          <a:off x="6811071" y="162623"/>
          <a:ext cx="911491" cy="899532"/>
        </a:xfrm>
        <a:prstGeom prst="rect">
          <a:avLst/>
        </a:prstGeom>
      </xdr:spPr>
    </xdr:pic>
    <xdr:clientData/>
  </xdr:twoCellAnchor>
  <xdr:twoCellAnchor editAs="oneCell">
    <xdr:from>
      <xdr:col>0</xdr:col>
      <xdr:colOff>278780</xdr:colOff>
      <xdr:row>0</xdr:row>
      <xdr:rowOff>162623</xdr:rowOff>
    </xdr:from>
    <xdr:to>
      <xdr:col>0</xdr:col>
      <xdr:colOff>1192595</xdr:colOff>
      <xdr:row>5</xdr:row>
      <xdr:rowOff>109655</xdr:rowOff>
    </xdr:to>
    <xdr:pic>
      <xdr:nvPicPr>
        <xdr:cNvPr id="4" name="Imagen 4">
          <a:extLst>
            <a:ext uri="{FF2B5EF4-FFF2-40B4-BE49-F238E27FC236}">
              <a16:creationId xmlns:a16="http://schemas.microsoft.com/office/drawing/2014/main" id="{140EE505-2573-4646-A16D-67E51918AB57}"/>
            </a:ext>
          </a:extLst>
        </xdr:cNvPr>
        <xdr:cNvPicPr>
          <a:picLocks noChangeAspect="1"/>
        </xdr:cNvPicPr>
      </xdr:nvPicPr>
      <xdr:blipFill>
        <a:blip xmlns:r="http://schemas.openxmlformats.org/officeDocument/2006/relationships" r:embed="rId1"/>
        <a:stretch>
          <a:fillRect/>
        </a:stretch>
      </xdr:blipFill>
      <xdr:spPr>
        <a:xfrm>
          <a:off x="278780" y="162623"/>
          <a:ext cx="913815" cy="899532"/>
        </a:xfrm>
        <a:prstGeom prst="rect">
          <a:avLst/>
        </a:prstGeom>
      </xdr:spPr>
    </xdr:pic>
    <xdr:clientData/>
  </xdr:twoCellAnchor>
  <xdr:twoCellAnchor>
    <xdr:from>
      <xdr:col>4</xdr:col>
      <xdr:colOff>247876</xdr:colOff>
      <xdr:row>53</xdr:row>
      <xdr:rowOff>186417</xdr:rowOff>
    </xdr:from>
    <xdr:to>
      <xdr:col>8</xdr:col>
      <xdr:colOff>52851</xdr:colOff>
      <xdr:row>55</xdr:row>
      <xdr:rowOff>40633</xdr:rowOff>
    </xdr:to>
    <xdr:sp macro="" textlink="">
      <xdr:nvSpPr>
        <xdr:cNvPr id="5" name="Cuadro de texto 2">
          <a:extLst>
            <a:ext uri="{FF2B5EF4-FFF2-40B4-BE49-F238E27FC236}">
              <a16:creationId xmlns:a16="http://schemas.microsoft.com/office/drawing/2014/main" id="{3712D33E-1CAF-4279-845D-EAF0109733E5}"/>
            </a:ext>
          </a:extLst>
        </xdr:cNvPr>
        <xdr:cNvSpPr txBox="1">
          <a:spLocks noChangeArrowheads="1"/>
        </xdr:cNvSpPr>
      </xdr:nvSpPr>
      <xdr:spPr bwMode="auto">
        <a:xfrm>
          <a:off x="5515201" y="10311492"/>
          <a:ext cx="2043350" cy="23521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s-CO" sz="1100">
              <a:effectLst/>
              <a:latin typeface="Times New Roman" panose="02020603050405020304" pitchFamily="18" charset="0"/>
              <a:ea typeface="Calibri" panose="020F0502020204030204" pitchFamily="34" charset="0"/>
              <a:cs typeface="Times New Roman" panose="02020603050405020304" pitchFamily="18" charset="0"/>
            </a:rPr>
            <a:t>ORIGINAL FIRMADO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FERNEY CAMILO RAMIREZ HAMON" id="{67F1B609-702A-409C-8A95-8DBCF4D47296}" userId="FERNEY CAMILO RAMIREZ HAMON"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2" dT="2020-04-18T01:04:50.38" personId="{67F1B609-702A-409C-8A95-8DBCF4D47296}" id="{B160FF0F-8FCD-4376-9101-0764DCA9A48E}">
    <text>13 Empleados que requieren manejo de sistema T.I</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L44"/>
  <sheetViews>
    <sheetView showGridLines="0" showRowColHeaders="0" tabSelected="1" zoomScale="70" zoomScaleNormal="70" workbookViewId="0">
      <selection activeCell="C13" sqref="C13"/>
    </sheetView>
  </sheetViews>
  <sheetFormatPr defaultColWidth="8.7109375" defaultRowHeight="15" x14ac:dyDescent="0.25"/>
  <cols>
    <col min="1" max="1" width="4.28515625" customWidth="1"/>
    <col min="2" max="2" width="19.140625" customWidth="1"/>
    <col min="3" max="3" width="28.140625" customWidth="1"/>
    <col min="4" max="4" width="66.5703125" customWidth="1"/>
    <col min="5" max="5" width="14.5703125" bestFit="1" customWidth="1"/>
    <col min="6" max="6" width="16.85546875" bestFit="1" customWidth="1"/>
    <col min="7" max="7" width="11" customWidth="1"/>
    <col min="8" max="8" width="11.140625" customWidth="1"/>
    <col min="9" max="9" width="10.5703125" customWidth="1"/>
    <col min="10" max="10" width="11.28515625" customWidth="1"/>
    <col min="11" max="11" width="12.140625" customWidth="1"/>
    <col min="12" max="12" width="19.7109375" bestFit="1" customWidth="1"/>
  </cols>
  <sheetData>
    <row r="6" spans="2:12" ht="15.75" thickBot="1" x14ac:dyDescent="0.3"/>
    <row r="7" spans="2:12" ht="27" thickBot="1" x14ac:dyDescent="0.45">
      <c r="B7" s="188" t="s">
        <v>0</v>
      </c>
      <c r="C7" s="189"/>
      <c r="D7" s="189"/>
      <c r="E7" s="189"/>
      <c r="F7" s="189"/>
      <c r="G7" s="189"/>
      <c r="H7" s="189"/>
      <c r="I7" s="189"/>
      <c r="J7" s="189"/>
      <c r="K7" s="189"/>
      <c r="L7" s="190"/>
    </row>
    <row r="8" spans="2:12" ht="6" customHeight="1" thickBot="1" x14ac:dyDescent="0.3">
      <c r="B8" s="4"/>
      <c r="C8" s="5"/>
      <c r="D8" s="5"/>
      <c r="E8" s="5"/>
      <c r="F8" s="5"/>
      <c r="G8" s="5"/>
      <c r="H8" s="181"/>
      <c r="I8" s="5"/>
      <c r="J8" s="5"/>
      <c r="K8" s="5"/>
      <c r="L8" s="6"/>
    </row>
    <row r="9" spans="2:12" ht="16.5" thickBot="1" x14ac:dyDescent="0.3">
      <c r="B9" s="4"/>
      <c r="C9" s="5"/>
      <c r="D9" s="199" t="s">
        <v>282</v>
      </c>
      <c r="E9" s="200"/>
      <c r="F9" s="200"/>
      <c r="G9" s="201"/>
      <c r="H9" s="181"/>
      <c r="I9" s="5"/>
      <c r="J9" s="5"/>
      <c r="K9" s="5"/>
      <c r="L9" s="6"/>
    </row>
    <row r="10" spans="2:12" ht="4.5" customHeight="1" thickBot="1" x14ac:dyDescent="0.3">
      <c r="B10" s="4"/>
      <c r="C10" s="5"/>
      <c r="D10" s="5"/>
      <c r="E10" s="5"/>
      <c r="F10" s="5"/>
      <c r="G10" s="5"/>
      <c r="H10" s="181"/>
      <c r="I10" s="5"/>
      <c r="J10" s="5"/>
      <c r="K10" s="5"/>
      <c r="L10" s="6"/>
    </row>
    <row r="11" spans="2:12" x14ac:dyDescent="0.25">
      <c r="B11" s="147" t="s">
        <v>1</v>
      </c>
      <c r="C11" s="148" t="s">
        <v>2</v>
      </c>
      <c r="D11" s="148" t="s">
        <v>3</v>
      </c>
      <c r="E11" s="148" t="s">
        <v>4</v>
      </c>
      <c r="F11" s="148" t="s">
        <v>5</v>
      </c>
      <c r="G11" s="148" t="s">
        <v>6</v>
      </c>
      <c r="H11" s="148" t="s">
        <v>7</v>
      </c>
      <c r="I11" s="148" t="s">
        <v>8</v>
      </c>
      <c r="J11" s="148" t="s">
        <v>9</v>
      </c>
      <c r="K11" s="148" t="s">
        <v>10</v>
      </c>
      <c r="L11" s="149" t="s">
        <v>11</v>
      </c>
    </row>
    <row r="12" spans="2:12" ht="45.75" customHeight="1" x14ac:dyDescent="0.25">
      <c r="B12" s="196" t="s">
        <v>12</v>
      </c>
      <c r="C12" s="2" t="s">
        <v>18</v>
      </c>
      <c r="D12" s="3"/>
      <c r="E12" s="76">
        <f>+(EE.RR!D10+EE.RR!F10)*20%</f>
        <v>1188678.8167999999</v>
      </c>
      <c r="F12" s="76">
        <f>+EE.RR!D10+EE.RR!F10</f>
        <v>5943394.0839999998</v>
      </c>
      <c r="G12" s="107">
        <v>0.17499999999999999</v>
      </c>
      <c r="H12" s="107">
        <f>+G12+5%</f>
        <v>0.22499999999999998</v>
      </c>
      <c r="I12" s="108">
        <v>0.25</v>
      </c>
      <c r="J12" s="107">
        <f>+G12</f>
        <v>0.17499999999999999</v>
      </c>
      <c r="K12" s="78">
        <f>+E12/F12</f>
        <v>0.19999999999999998</v>
      </c>
      <c r="L12" s="109">
        <f>+K12/H12</f>
        <v>0.88888888888888895</v>
      </c>
    </row>
    <row r="13" spans="2:12" ht="42" customHeight="1" x14ac:dyDescent="0.25">
      <c r="B13" s="196"/>
      <c r="C13" s="2" t="s">
        <v>19</v>
      </c>
      <c r="D13" s="3"/>
      <c r="E13" s="182">
        <f>+(EE.RR!D15+EE.RR!F15)*15%</f>
        <v>208460.77289999995</v>
      </c>
      <c r="F13" s="182">
        <f>(('E.S.F'!C18)*20%)+((-EE.RR!D13-EE.RR!F13)*20%)+'E.S.F'!C19</f>
        <v>304822.86860000005</v>
      </c>
      <c r="G13" s="107">
        <v>0.65200000000000002</v>
      </c>
      <c r="H13" s="107">
        <f t="shared" ref="H13:H16" si="0">+G13+5%</f>
        <v>0.70200000000000007</v>
      </c>
      <c r="I13" s="107">
        <v>0.752</v>
      </c>
      <c r="J13" s="107">
        <f t="shared" ref="J13:J31" si="1">+G13</f>
        <v>0.65200000000000002</v>
      </c>
      <c r="K13" s="78">
        <f t="shared" ref="K13:K31" si="2">+E13/F13</f>
        <v>0.68387511034662551</v>
      </c>
      <c r="L13" s="109">
        <f t="shared" ref="L13:L31" si="3">+K13/H13</f>
        <v>0.9741810688698368</v>
      </c>
    </row>
    <row r="14" spans="2:12" ht="43.5" customHeight="1" x14ac:dyDescent="0.25">
      <c r="B14" s="196"/>
      <c r="C14" s="2" t="s">
        <v>21</v>
      </c>
      <c r="D14" s="3"/>
      <c r="E14" s="191">
        <f>+E13-(F13*25%)</f>
        <v>132255.05574999994</v>
      </c>
      <c r="F14" s="192"/>
      <c r="G14" s="76">
        <v>130650</v>
      </c>
      <c r="H14" s="76">
        <f>+G14*(1+5%)</f>
        <v>137182.5</v>
      </c>
      <c r="I14" s="76">
        <v>155640</v>
      </c>
      <c r="J14" s="76">
        <f>+G14</f>
        <v>130650</v>
      </c>
      <c r="K14" s="112">
        <f>+E14</f>
        <v>132255.05574999994</v>
      </c>
      <c r="L14" s="113">
        <f>+K14/H14</f>
        <v>0.9640811018169223</v>
      </c>
    </row>
    <row r="15" spans="2:12" ht="47.25" customHeight="1" x14ac:dyDescent="0.25">
      <c r="B15" s="196"/>
      <c r="C15" s="2" t="s">
        <v>22</v>
      </c>
      <c r="D15" s="3"/>
      <c r="E15" s="76">
        <f>+E13</f>
        <v>208460.77289999995</v>
      </c>
      <c r="F15" s="76">
        <f>+E12</f>
        <v>1188678.8167999999</v>
      </c>
      <c r="G15" s="107">
        <v>0.16900000000000001</v>
      </c>
      <c r="H15" s="107">
        <f t="shared" si="0"/>
        <v>0.21900000000000003</v>
      </c>
      <c r="I15" s="107">
        <v>0.2</v>
      </c>
      <c r="J15" s="107">
        <f t="shared" si="1"/>
        <v>0.16900000000000001</v>
      </c>
      <c r="K15" s="78">
        <f t="shared" si="2"/>
        <v>0.17537182454482517</v>
      </c>
      <c r="L15" s="109">
        <f>+K15/H15</f>
        <v>0.80078458696267185</v>
      </c>
    </row>
    <row r="16" spans="2:12" ht="57" customHeight="1" x14ac:dyDescent="0.25">
      <c r="B16" s="196"/>
      <c r="C16" s="2" t="s">
        <v>23</v>
      </c>
      <c r="D16" s="3"/>
      <c r="E16" s="150">
        <f>+F15</f>
        <v>1188678.8167999999</v>
      </c>
      <c r="F16" s="76">
        <f>+'E.S.F'!C44</f>
        <v>2327259.8679999998</v>
      </c>
      <c r="G16" s="107">
        <v>0.48</v>
      </c>
      <c r="H16" s="107">
        <f t="shared" si="0"/>
        <v>0.53</v>
      </c>
      <c r="I16" s="107">
        <v>0.6</v>
      </c>
      <c r="J16" s="110">
        <f t="shared" si="1"/>
        <v>0.48</v>
      </c>
      <c r="K16" s="78">
        <f t="shared" si="2"/>
        <v>0.51076325130013367</v>
      </c>
      <c r="L16" s="109">
        <f t="shared" si="3"/>
        <v>0.96370424773610119</v>
      </c>
    </row>
    <row r="17" spans="2:12" ht="47.25" customHeight="1" x14ac:dyDescent="0.25">
      <c r="B17" s="197" t="s">
        <v>16</v>
      </c>
      <c r="C17" s="2" t="s">
        <v>20</v>
      </c>
      <c r="D17" s="3"/>
      <c r="E17" s="75">
        <v>9200</v>
      </c>
      <c r="F17" s="75">
        <v>12000</v>
      </c>
      <c r="G17" s="108">
        <v>0.8</v>
      </c>
      <c r="H17" s="107">
        <f t="shared" ref="H17:H21" si="4">+G17+3%</f>
        <v>0.83000000000000007</v>
      </c>
      <c r="I17" s="108">
        <v>0.85</v>
      </c>
      <c r="J17" s="108">
        <f>+G17</f>
        <v>0.8</v>
      </c>
      <c r="K17" s="110">
        <f t="shared" si="2"/>
        <v>0.76666666666666672</v>
      </c>
      <c r="L17" s="109">
        <f>+K17/H17</f>
        <v>0.9236947791164658</v>
      </c>
    </row>
    <row r="18" spans="2:12" ht="41.25" customHeight="1" x14ac:dyDescent="0.25">
      <c r="B18" s="197"/>
      <c r="C18" s="2" t="s">
        <v>14</v>
      </c>
      <c r="D18" s="3"/>
      <c r="E18" s="75">
        <v>240</v>
      </c>
      <c r="F18" s="75">
        <v>265</v>
      </c>
      <c r="G18" s="107">
        <v>0.96</v>
      </c>
      <c r="H18" s="107">
        <f t="shared" si="4"/>
        <v>0.99</v>
      </c>
      <c r="I18" s="107">
        <v>0.99</v>
      </c>
      <c r="J18" s="107">
        <f t="shared" si="1"/>
        <v>0.96</v>
      </c>
      <c r="K18" s="78">
        <f t="shared" si="2"/>
        <v>0.90566037735849059</v>
      </c>
      <c r="L18" s="109">
        <f t="shared" si="3"/>
        <v>0.91480846197827337</v>
      </c>
    </row>
    <row r="19" spans="2:12" ht="41.25" customHeight="1" x14ac:dyDescent="0.25">
      <c r="B19" s="197"/>
      <c r="C19" s="2" t="s">
        <v>24</v>
      </c>
      <c r="D19" s="3"/>
      <c r="E19" s="75">
        <v>3</v>
      </c>
      <c r="F19" s="75">
        <v>6</v>
      </c>
      <c r="G19" s="107">
        <v>0.5</v>
      </c>
      <c r="H19" s="107">
        <v>0.6</v>
      </c>
      <c r="I19" s="107">
        <v>0.7</v>
      </c>
      <c r="J19" s="107">
        <f t="shared" si="1"/>
        <v>0.5</v>
      </c>
      <c r="K19" s="78">
        <f t="shared" si="2"/>
        <v>0.5</v>
      </c>
      <c r="L19" s="109">
        <f t="shared" si="3"/>
        <v>0.83333333333333337</v>
      </c>
    </row>
    <row r="20" spans="2:12" ht="42.75" customHeight="1" x14ac:dyDescent="0.25">
      <c r="B20" s="197"/>
      <c r="C20" s="2" t="s">
        <v>25</v>
      </c>
      <c r="D20" s="3"/>
      <c r="E20" s="75">
        <v>90</v>
      </c>
      <c r="F20" s="75">
        <v>100</v>
      </c>
      <c r="G20" s="107">
        <v>0.87</v>
      </c>
      <c r="H20" s="107">
        <f t="shared" si="4"/>
        <v>0.9</v>
      </c>
      <c r="I20" s="107">
        <v>0.92</v>
      </c>
      <c r="J20" s="107">
        <f t="shared" si="1"/>
        <v>0.87</v>
      </c>
      <c r="K20" s="78">
        <f t="shared" si="2"/>
        <v>0.9</v>
      </c>
      <c r="L20" s="109">
        <f t="shared" si="3"/>
        <v>1</v>
      </c>
    </row>
    <row r="21" spans="2:12" ht="48" customHeight="1" x14ac:dyDescent="0.25">
      <c r="B21" s="197"/>
      <c r="C21" s="187" t="s">
        <v>280</v>
      </c>
      <c r="D21" s="3"/>
      <c r="E21" s="182">
        <f>+'E.S.F'!C10*95%</f>
        <v>1509621.25</v>
      </c>
      <c r="F21" s="76">
        <v>1450000</v>
      </c>
      <c r="G21" s="108">
        <v>0.92</v>
      </c>
      <c r="H21" s="107">
        <f t="shared" si="4"/>
        <v>0.95000000000000007</v>
      </c>
      <c r="I21" s="107">
        <v>0.98</v>
      </c>
      <c r="J21" s="76">
        <f>+G21</f>
        <v>0.92</v>
      </c>
      <c r="K21" s="78">
        <f t="shared" si="2"/>
        <v>1.0411181034482759</v>
      </c>
      <c r="L21" s="109">
        <f t="shared" si="3"/>
        <v>1.0959137931034482</v>
      </c>
    </row>
    <row r="22" spans="2:12" ht="45" customHeight="1" x14ac:dyDescent="0.25">
      <c r="B22" s="197" t="s">
        <v>17</v>
      </c>
      <c r="C22" s="185" t="s">
        <v>287</v>
      </c>
      <c r="D22" s="186"/>
      <c r="E22" s="183">
        <v>2900</v>
      </c>
      <c r="F22" s="183">
        <f>240*13</f>
        <v>3120</v>
      </c>
      <c r="G22" s="107">
        <v>0.92</v>
      </c>
      <c r="H22" s="107">
        <f>+G22+7%</f>
        <v>0.99</v>
      </c>
      <c r="I22" s="107">
        <v>0.95</v>
      </c>
      <c r="J22" s="107">
        <f t="shared" si="1"/>
        <v>0.92</v>
      </c>
      <c r="K22" s="78">
        <f t="shared" si="2"/>
        <v>0.92948717948717952</v>
      </c>
      <c r="L22" s="109">
        <f t="shared" si="3"/>
        <v>0.9388759388759389</v>
      </c>
    </row>
    <row r="23" spans="2:12" ht="42" customHeight="1" x14ac:dyDescent="0.25">
      <c r="B23" s="197"/>
      <c r="C23" s="187" t="s">
        <v>288</v>
      </c>
      <c r="D23" s="3"/>
      <c r="E23" s="75">
        <v>9</v>
      </c>
      <c r="F23" s="75">
        <v>19</v>
      </c>
      <c r="G23" s="107">
        <v>0.45</v>
      </c>
      <c r="H23" s="107">
        <f t="shared" ref="H23:H26" si="5">+G23+7%</f>
        <v>0.52</v>
      </c>
      <c r="I23" s="107">
        <v>0.6</v>
      </c>
      <c r="J23" s="107">
        <f t="shared" si="1"/>
        <v>0.45</v>
      </c>
      <c r="K23" s="78">
        <f t="shared" si="2"/>
        <v>0.47368421052631576</v>
      </c>
      <c r="L23" s="109">
        <f t="shared" si="3"/>
        <v>0.91093117408906876</v>
      </c>
    </row>
    <row r="24" spans="2:12" ht="41.25" customHeight="1" x14ac:dyDescent="0.25">
      <c r="B24" s="197"/>
      <c r="C24" s="185" t="s">
        <v>283</v>
      </c>
      <c r="D24" s="3"/>
      <c r="E24" s="75">
        <v>8</v>
      </c>
      <c r="F24" s="75">
        <v>9</v>
      </c>
      <c r="G24" s="107">
        <v>0.87</v>
      </c>
      <c r="H24" s="107">
        <f t="shared" si="5"/>
        <v>0.94</v>
      </c>
      <c r="I24" s="107">
        <v>0.95</v>
      </c>
      <c r="J24" s="107">
        <f t="shared" si="1"/>
        <v>0.87</v>
      </c>
      <c r="K24" s="78">
        <f t="shared" si="2"/>
        <v>0.88888888888888884</v>
      </c>
      <c r="L24" s="109">
        <f t="shared" si="3"/>
        <v>0.94562647754137119</v>
      </c>
    </row>
    <row r="25" spans="2:12" ht="39.75" customHeight="1" x14ac:dyDescent="0.25">
      <c r="B25" s="197"/>
      <c r="C25" s="2" t="s">
        <v>27</v>
      </c>
      <c r="D25" s="3"/>
      <c r="E25" s="193">
        <f>2400-2200</f>
        <v>200</v>
      </c>
      <c r="F25" s="194"/>
      <c r="G25" s="144">
        <v>180</v>
      </c>
      <c r="H25" s="144">
        <v>250</v>
      </c>
      <c r="I25" s="144">
        <v>300</v>
      </c>
      <c r="J25" s="144">
        <v>150</v>
      </c>
      <c r="K25" s="144">
        <f>+E25</f>
        <v>200</v>
      </c>
      <c r="L25" s="109">
        <f t="shared" si="3"/>
        <v>0.8</v>
      </c>
    </row>
    <row r="26" spans="2:12" ht="39" customHeight="1" x14ac:dyDescent="0.25">
      <c r="B26" s="197"/>
      <c r="C26" s="2" t="s">
        <v>28</v>
      </c>
      <c r="D26" s="3"/>
      <c r="E26" s="75">
        <v>15</v>
      </c>
      <c r="F26" s="75">
        <v>26</v>
      </c>
      <c r="G26" s="107">
        <v>0.56999999999999995</v>
      </c>
      <c r="H26" s="107">
        <f t="shared" si="5"/>
        <v>0.6399999999999999</v>
      </c>
      <c r="I26" s="107">
        <v>0.7</v>
      </c>
      <c r="J26" s="107">
        <f t="shared" si="1"/>
        <v>0.56999999999999995</v>
      </c>
      <c r="K26" s="78">
        <f t="shared" si="2"/>
        <v>0.57692307692307687</v>
      </c>
      <c r="L26" s="109">
        <f t="shared" si="3"/>
        <v>0.90144230769230771</v>
      </c>
    </row>
    <row r="27" spans="2:12" ht="39" customHeight="1" x14ac:dyDescent="0.25">
      <c r="B27" s="197" t="s">
        <v>13</v>
      </c>
      <c r="C27" s="2" t="s">
        <v>285</v>
      </c>
      <c r="D27" s="3"/>
      <c r="E27" s="183">
        <v>19</v>
      </c>
      <c r="F27" s="75">
        <v>25</v>
      </c>
      <c r="G27" s="107">
        <v>0.83</v>
      </c>
      <c r="H27" s="107">
        <f>+G27+4%</f>
        <v>0.87</v>
      </c>
      <c r="I27" s="107">
        <v>0.85</v>
      </c>
      <c r="J27" s="107">
        <f t="shared" si="1"/>
        <v>0.83</v>
      </c>
      <c r="K27" s="78">
        <f t="shared" si="2"/>
        <v>0.76</v>
      </c>
      <c r="L27" s="109">
        <f>+K27/H27</f>
        <v>0.87356321839080464</v>
      </c>
    </row>
    <row r="28" spans="2:12" ht="36.75" customHeight="1" x14ac:dyDescent="0.25">
      <c r="B28" s="197"/>
      <c r="C28" s="2" t="s">
        <v>286</v>
      </c>
      <c r="D28" s="3"/>
      <c r="E28" s="184">
        <f>+(-EE.RR!D13-EE.RR!F13)*8%</f>
        <v>31083.066399999996</v>
      </c>
      <c r="F28" s="75">
        <v>26</v>
      </c>
      <c r="G28" s="76">
        <v>1190</v>
      </c>
      <c r="H28" s="76">
        <f>+G28*(1+5%)</f>
        <v>1249.5</v>
      </c>
      <c r="I28" s="76">
        <v>1600</v>
      </c>
      <c r="J28" s="76">
        <v>1000</v>
      </c>
      <c r="K28" s="112">
        <f t="shared" si="2"/>
        <v>1195.5025538461537</v>
      </c>
      <c r="L28" s="109">
        <f>+K28/H28</f>
        <v>0.95678475697971477</v>
      </c>
    </row>
    <row r="29" spans="2:12" ht="38.25" customHeight="1" x14ac:dyDescent="0.25">
      <c r="B29" s="197"/>
      <c r="C29" s="2" t="s">
        <v>26</v>
      </c>
      <c r="D29" s="3"/>
      <c r="E29" s="76">
        <f>+E28</f>
        <v>31083.066399999996</v>
      </c>
      <c r="F29" s="182">
        <f>186009+120400</f>
        <v>306409</v>
      </c>
      <c r="G29" s="107">
        <v>0.09</v>
      </c>
      <c r="H29" s="107">
        <f t="shared" ref="H29:H31" si="6">+G29+4%</f>
        <v>0.13</v>
      </c>
      <c r="I29" s="107">
        <v>0.15</v>
      </c>
      <c r="J29" s="107">
        <f t="shared" si="1"/>
        <v>0.09</v>
      </c>
      <c r="K29" s="78">
        <f t="shared" si="2"/>
        <v>0.10144305944016004</v>
      </c>
      <c r="L29" s="109">
        <f t="shared" si="3"/>
        <v>0.78033122646276942</v>
      </c>
    </row>
    <row r="30" spans="2:12" ht="37.5" customHeight="1" x14ac:dyDescent="0.25">
      <c r="B30" s="197"/>
      <c r="C30" s="2" t="s">
        <v>284</v>
      </c>
      <c r="D30" s="3"/>
      <c r="E30" s="75">
        <v>20</v>
      </c>
      <c r="F30" s="183">
        <v>240</v>
      </c>
      <c r="G30" s="107">
        <v>0.05</v>
      </c>
      <c r="H30" s="107">
        <f t="shared" si="6"/>
        <v>0.09</v>
      </c>
      <c r="I30" s="107">
        <v>0.1</v>
      </c>
      <c r="J30" s="107">
        <f t="shared" si="1"/>
        <v>0.05</v>
      </c>
      <c r="K30" s="78">
        <f t="shared" si="2"/>
        <v>8.3333333333333329E-2</v>
      </c>
      <c r="L30" s="109">
        <f t="shared" si="3"/>
        <v>0.92592592592592593</v>
      </c>
    </row>
    <row r="31" spans="2:12" ht="42" customHeight="1" thickBot="1" x14ac:dyDescent="0.3">
      <c r="B31" s="198"/>
      <c r="C31" s="8" t="s">
        <v>29</v>
      </c>
      <c r="D31" s="9"/>
      <c r="E31" s="145">
        <f>+F13</f>
        <v>304822.86860000005</v>
      </c>
      <c r="F31" s="146">
        <v>500000</v>
      </c>
      <c r="G31" s="111">
        <v>0.7</v>
      </c>
      <c r="H31" s="111">
        <f t="shared" si="6"/>
        <v>0.74</v>
      </c>
      <c r="I31" s="111">
        <v>0.8</v>
      </c>
      <c r="J31" s="111">
        <f t="shared" si="1"/>
        <v>0.7</v>
      </c>
      <c r="K31" s="151">
        <f t="shared" si="2"/>
        <v>0.60964573720000004</v>
      </c>
      <c r="L31" s="152">
        <f t="shared" si="3"/>
        <v>0.82384559081081088</v>
      </c>
    </row>
    <row r="34" spans="2:7" x14ac:dyDescent="0.25">
      <c r="B34" s="19" t="s">
        <v>141</v>
      </c>
    </row>
    <row r="35" spans="2:7" ht="14.45" customHeight="1" x14ac:dyDescent="0.25">
      <c r="B35" s="195" t="s">
        <v>281</v>
      </c>
      <c r="C35" s="195"/>
      <c r="D35" s="195"/>
      <c r="E35" s="195"/>
      <c r="F35" s="195"/>
      <c r="G35" s="195"/>
    </row>
    <row r="36" spans="2:7" x14ac:dyDescent="0.25">
      <c r="B36" s="195"/>
      <c r="C36" s="195"/>
      <c r="D36" s="195"/>
      <c r="E36" s="195"/>
      <c r="F36" s="195"/>
      <c r="G36" s="195"/>
    </row>
    <row r="37" spans="2:7" x14ac:dyDescent="0.25">
      <c r="B37" s="195"/>
      <c r="C37" s="195"/>
      <c r="D37" s="195"/>
      <c r="E37" s="195"/>
      <c r="F37" s="195"/>
      <c r="G37" s="195"/>
    </row>
    <row r="38" spans="2:7" x14ac:dyDescent="0.25">
      <c r="B38" s="195"/>
      <c r="C38" s="195"/>
      <c r="D38" s="195"/>
      <c r="E38" s="195"/>
      <c r="F38" s="195"/>
      <c r="G38" s="195"/>
    </row>
    <row r="39" spans="2:7" x14ac:dyDescent="0.25">
      <c r="B39" s="195"/>
      <c r="C39" s="195"/>
      <c r="D39" s="195"/>
      <c r="E39" s="195"/>
      <c r="F39" s="195"/>
      <c r="G39" s="195"/>
    </row>
    <row r="40" spans="2:7" x14ac:dyDescent="0.25">
      <c r="B40" s="195"/>
      <c r="C40" s="195"/>
      <c r="D40" s="195"/>
      <c r="E40" s="195"/>
      <c r="F40" s="195"/>
      <c r="G40" s="195"/>
    </row>
    <row r="41" spans="2:7" x14ac:dyDescent="0.25">
      <c r="B41" s="195"/>
      <c r="C41" s="195"/>
      <c r="D41" s="195"/>
      <c r="E41" s="195"/>
      <c r="F41" s="195"/>
      <c r="G41" s="195"/>
    </row>
    <row r="42" spans="2:7" x14ac:dyDescent="0.25">
      <c r="B42" s="195"/>
      <c r="C42" s="195"/>
      <c r="D42" s="195"/>
      <c r="E42" s="195"/>
      <c r="F42" s="195"/>
      <c r="G42" s="195"/>
    </row>
    <row r="43" spans="2:7" x14ac:dyDescent="0.25">
      <c r="B43" s="195"/>
      <c r="C43" s="195"/>
      <c r="D43" s="195"/>
      <c r="E43" s="195"/>
      <c r="F43" s="195"/>
      <c r="G43" s="195"/>
    </row>
    <row r="44" spans="2:7" x14ac:dyDescent="0.25">
      <c r="B44" s="195"/>
      <c r="C44" s="195"/>
      <c r="D44" s="195"/>
      <c r="E44" s="195"/>
      <c r="F44" s="195"/>
      <c r="G44" s="195"/>
    </row>
  </sheetData>
  <sheetProtection sheet="1" formatCells="0" formatColumns="0" formatRows="0" insertColumns="0" insertRows="0" insertHyperlinks="0" deleteColumns="0" deleteRows="0" sort="0" autoFilter="0" pivotTables="0"/>
  <mergeCells count="9">
    <mergeCell ref="B7:L7"/>
    <mergeCell ref="E14:F14"/>
    <mergeCell ref="E25:F25"/>
    <mergeCell ref="B35:G44"/>
    <mergeCell ref="B12:B16"/>
    <mergeCell ref="B17:B21"/>
    <mergeCell ref="B22:B26"/>
    <mergeCell ref="B27:B31"/>
    <mergeCell ref="D9:G9"/>
  </mergeCells>
  <conditionalFormatting sqref="L12:L31">
    <cfRule type="colorScale" priority="1">
      <colorScale>
        <cfvo type="min"/>
        <cfvo type="percentile" val="50"/>
        <cfvo type="max"/>
        <color rgb="FFF8696B"/>
        <color rgb="FFFFEB84"/>
        <color rgb="FF63BE7B"/>
      </colorScale>
    </cfRule>
  </conditionalFormatting>
  <pageMargins left="0.7" right="0.7" top="0.75" bottom="0.75" header="0.3" footer="0.3"/>
  <ignoredErrors>
    <ignoredError sqref="H14:K14" formula="1"/>
  </ignoredErrors>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7"/>
  <sheetViews>
    <sheetView showGridLines="0" workbookViewId="0">
      <selection activeCell="D12" sqref="D12:D13"/>
    </sheetView>
  </sheetViews>
  <sheetFormatPr defaultColWidth="11.42578125" defaultRowHeight="15" x14ac:dyDescent="0.25"/>
  <cols>
    <col min="1" max="1" width="46.42578125" customWidth="1"/>
    <col min="2" max="2" width="2.28515625" customWidth="1"/>
    <col min="3" max="3" width="5.28515625" bestFit="1" customWidth="1"/>
    <col min="4" max="4" width="16.42578125" customWidth="1"/>
    <col min="5" max="5" width="7.140625" bestFit="1" customWidth="1"/>
    <col min="6" max="6" width="14.5703125" customWidth="1"/>
    <col min="7" max="7" width="7.140625" bestFit="1" customWidth="1"/>
    <col min="8" max="8" width="1.42578125" customWidth="1"/>
    <col min="9" max="9" width="14" customWidth="1"/>
    <col min="10" max="10" width="11" customWidth="1"/>
    <col min="11" max="11" width="16.42578125" style="11" bestFit="1" customWidth="1"/>
    <col min="12" max="12" width="1.42578125" customWidth="1"/>
    <col min="13" max="13" width="13.5703125" bestFit="1" customWidth="1"/>
    <col min="15" max="15" width="11.42578125" style="12"/>
  </cols>
  <sheetData>
    <row r="1" spans="1:16" x14ac:dyDescent="0.25">
      <c r="A1" s="204" t="s">
        <v>30</v>
      </c>
      <c r="B1" s="204"/>
      <c r="C1" s="204"/>
      <c r="D1" s="204"/>
      <c r="E1" s="204"/>
      <c r="F1" s="204"/>
      <c r="G1" s="204"/>
      <c r="H1" s="204"/>
      <c r="I1" s="204"/>
      <c r="J1" s="204"/>
    </row>
    <row r="2" spans="1:16" x14ac:dyDescent="0.25">
      <c r="A2" s="204" t="s">
        <v>31</v>
      </c>
      <c r="B2" s="204"/>
      <c r="C2" s="204"/>
      <c r="D2" s="204"/>
      <c r="E2" s="204"/>
      <c r="F2" s="204"/>
      <c r="G2" s="204"/>
      <c r="H2" s="204"/>
      <c r="I2" s="204"/>
      <c r="J2" s="204"/>
    </row>
    <row r="3" spans="1:16" x14ac:dyDescent="0.25">
      <c r="A3" s="204" t="s">
        <v>32</v>
      </c>
      <c r="B3" s="204"/>
      <c r="C3" s="204"/>
      <c r="D3" s="204"/>
      <c r="E3" s="204"/>
      <c r="F3" s="204"/>
      <c r="G3" s="204"/>
      <c r="H3" s="204"/>
      <c r="I3" s="204"/>
      <c r="J3" s="204"/>
    </row>
    <row r="4" spans="1:16" x14ac:dyDescent="0.25">
      <c r="A4" s="204" t="s">
        <v>33</v>
      </c>
      <c r="B4" s="204"/>
      <c r="C4" s="204"/>
      <c r="D4" s="204"/>
      <c r="E4" s="204"/>
      <c r="F4" s="204"/>
      <c r="G4" s="204"/>
      <c r="H4" s="204"/>
      <c r="I4" s="204"/>
      <c r="J4" s="204"/>
    </row>
    <row r="5" spans="1:16" x14ac:dyDescent="0.25">
      <c r="A5" s="204" t="s">
        <v>34</v>
      </c>
      <c r="B5" s="204"/>
      <c r="C5" s="204"/>
      <c r="D5" s="204"/>
      <c r="E5" s="204"/>
      <c r="F5" s="204"/>
      <c r="G5" s="204"/>
      <c r="H5" s="204"/>
      <c r="I5" s="204"/>
      <c r="J5" s="204"/>
    </row>
    <row r="6" spans="1:16" x14ac:dyDescent="0.25">
      <c r="E6" s="13"/>
      <c r="G6" s="14"/>
      <c r="H6" s="14"/>
      <c r="I6" s="15"/>
      <c r="J6" s="15"/>
    </row>
    <row r="7" spans="1:16" x14ac:dyDescent="0.25">
      <c r="E7" s="13"/>
      <c r="G7" s="14"/>
      <c r="H7" s="14"/>
      <c r="I7" s="15"/>
      <c r="J7" s="15"/>
    </row>
    <row r="8" spans="1:16" x14ac:dyDescent="0.25">
      <c r="D8" s="16"/>
      <c r="E8" s="13"/>
      <c r="G8" s="14"/>
      <c r="H8" s="14"/>
      <c r="I8" s="15"/>
      <c r="J8" s="15"/>
      <c r="N8" s="17">
        <v>43435</v>
      </c>
      <c r="O8" s="18">
        <v>43252</v>
      </c>
    </row>
    <row r="9" spans="1:16" x14ac:dyDescent="0.25">
      <c r="A9" s="19"/>
      <c r="C9" s="20" t="s">
        <v>35</v>
      </c>
      <c r="D9" s="21" t="s">
        <v>36</v>
      </c>
      <c r="E9" s="22"/>
      <c r="F9" s="21" t="s">
        <v>37</v>
      </c>
      <c r="G9" s="23"/>
      <c r="H9" s="23"/>
      <c r="I9" s="24" t="s">
        <v>38</v>
      </c>
      <c r="J9" s="24" t="s">
        <v>39</v>
      </c>
      <c r="M9" t="str">
        <f>+A20</f>
        <v>Ganancia Neta del ejercicio</v>
      </c>
      <c r="N9" s="16">
        <f>+D20</f>
        <v>534622.11499999999</v>
      </c>
      <c r="O9" s="25">
        <f>+F20</f>
        <v>423613.77199999988</v>
      </c>
    </row>
    <row r="10" spans="1:16" x14ac:dyDescent="0.25">
      <c r="A10" t="s">
        <v>40</v>
      </c>
      <c r="C10" s="26">
        <v>3</v>
      </c>
      <c r="D10" s="27">
        <v>3735204</v>
      </c>
      <c r="E10" s="14">
        <v>1</v>
      </c>
      <c r="F10" s="27">
        <f>+(K10+M10)/1000</f>
        <v>2208190.0839999998</v>
      </c>
      <c r="G10" s="14">
        <v>1</v>
      </c>
      <c r="H10" s="28"/>
      <c r="I10" s="29">
        <f>+D10-F10</f>
        <v>1527013.9160000002</v>
      </c>
      <c r="J10" s="30">
        <f>+I10/$F$10*100%</f>
        <v>0.69152285714185846</v>
      </c>
      <c r="K10" s="31">
        <v>1528573815</v>
      </c>
      <c r="L10" s="31"/>
      <c r="M10" s="31">
        <v>679616269</v>
      </c>
      <c r="O10" s="32"/>
      <c r="P10" s="33"/>
    </row>
    <row r="11" spans="1:16" ht="17.25" x14ac:dyDescent="0.4">
      <c r="A11" t="s">
        <v>41</v>
      </c>
      <c r="C11" s="26">
        <v>4</v>
      </c>
      <c r="D11" s="34">
        <v>-2601179</v>
      </c>
      <c r="E11" s="35">
        <f>-D11/$D$10*$E$10</f>
        <v>0.69639543114646485</v>
      </c>
      <c r="F11" s="34">
        <f>-(K11+M11)/1000</f>
        <v>-1431133.7120000001</v>
      </c>
      <c r="G11" s="35">
        <f>-F11/$F$10*$G$10</f>
        <v>0.6481025897044107</v>
      </c>
      <c r="H11" s="36"/>
      <c r="I11" s="29">
        <f>-D11+F11</f>
        <v>1170045.2879999999</v>
      </c>
      <c r="J11" s="30">
        <f t="shared" ref="J11:J20" si="0">+I11/F11*100%</f>
        <v>-0.81756531775418051</v>
      </c>
      <c r="K11" s="31">
        <v>990764832</v>
      </c>
      <c r="L11" s="31"/>
      <c r="M11" s="31">
        <v>440368880</v>
      </c>
    </row>
    <row r="12" spans="1:16" ht="17.25" x14ac:dyDescent="0.25">
      <c r="A12" s="19" t="s">
        <v>42</v>
      </c>
      <c r="C12" s="26"/>
      <c r="D12" s="37">
        <f>D10+D11</f>
        <v>1134025</v>
      </c>
      <c r="E12" s="35"/>
      <c r="F12" s="37">
        <f>+F10+F11</f>
        <v>777056.37199999974</v>
      </c>
      <c r="G12" s="38"/>
      <c r="H12" s="39"/>
      <c r="I12" s="29">
        <f>+D12-F12</f>
        <v>356968.62800000026</v>
      </c>
      <c r="J12" s="30">
        <f t="shared" si="0"/>
        <v>0.45938575483427135</v>
      </c>
      <c r="K12" s="40"/>
      <c r="L12" s="40"/>
      <c r="M12" s="40"/>
    </row>
    <row r="13" spans="1:16" x14ac:dyDescent="0.25">
      <c r="A13" t="s">
        <v>43</v>
      </c>
      <c r="C13" s="26">
        <v>5</v>
      </c>
      <c r="D13" s="27">
        <v>-243496</v>
      </c>
      <c r="E13" s="35">
        <f>-D13/$D$10*$E$10</f>
        <v>6.5189478272137211E-2</v>
      </c>
      <c r="F13" s="27">
        <f>-145042330/1000</f>
        <v>-145042.32999999999</v>
      </c>
      <c r="G13" s="35">
        <f>-F13/$F$10*$G$10</f>
        <v>6.5683806412745405E-2</v>
      </c>
      <c r="H13" s="36"/>
      <c r="I13" s="29">
        <f>-D13+F13</f>
        <v>98453.670000000013</v>
      </c>
      <c r="J13" s="30">
        <f t="shared" si="0"/>
        <v>-0.67879266694074769</v>
      </c>
      <c r="K13" s="40">
        <v>81495228</v>
      </c>
      <c r="L13" s="40"/>
      <c r="M13" s="40">
        <v>63891178</v>
      </c>
    </row>
    <row r="14" spans="1:16" ht="17.25" x14ac:dyDescent="0.4">
      <c r="A14" t="s">
        <v>44</v>
      </c>
      <c r="C14" s="26">
        <v>6</v>
      </c>
      <c r="D14" s="34">
        <v>-75702</v>
      </c>
      <c r="E14" s="35">
        <f>-D14/$D$10*$E$10</f>
        <v>2.0267166130685233E-2</v>
      </c>
      <c r="F14" s="34">
        <f>-57102556/1000</f>
        <v>-57102.555999999997</v>
      </c>
      <c r="G14" s="35">
        <f>-F14/$F$10*$G$10</f>
        <v>2.5859438647855101E-2</v>
      </c>
      <c r="H14" s="36"/>
      <c r="I14" s="29">
        <f>-D14+F14</f>
        <v>18599.444000000003</v>
      </c>
      <c r="J14" s="30">
        <f t="shared" si="0"/>
        <v>-0.3257199905377266</v>
      </c>
      <c r="K14" s="40">
        <v>30292477</v>
      </c>
      <c r="L14" s="40"/>
      <c r="M14" s="40">
        <v>26466717</v>
      </c>
      <c r="N14" s="16"/>
    </row>
    <row r="15" spans="1:16" ht="17.25" x14ac:dyDescent="0.25">
      <c r="A15" s="19" t="s">
        <v>45</v>
      </c>
      <c r="C15" s="26"/>
      <c r="D15" s="37">
        <f>+D12+D13+D14</f>
        <v>814827</v>
      </c>
      <c r="E15" s="38"/>
      <c r="F15" s="37">
        <f>+F12+F13+F14</f>
        <v>574911.4859999998</v>
      </c>
      <c r="G15" s="41"/>
      <c r="H15" s="42"/>
      <c r="I15" s="29">
        <f>+D15-F15</f>
        <v>239915.5140000002</v>
      </c>
      <c r="J15" s="30">
        <f t="shared" si="0"/>
        <v>0.41730861157294791</v>
      </c>
      <c r="K15" s="40"/>
      <c r="L15" s="40"/>
      <c r="M15" s="40"/>
    </row>
    <row r="16" spans="1:16" x14ac:dyDescent="0.25">
      <c r="A16" t="s">
        <v>46</v>
      </c>
      <c r="C16" s="26">
        <v>7</v>
      </c>
      <c r="D16" s="27">
        <f>-24510336/1000</f>
        <v>-24510.335999999999</v>
      </c>
      <c r="E16" s="35">
        <f>-D16/$D$10*$E$10</f>
        <v>6.5619805504598941E-3</v>
      </c>
      <c r="F16" s="27">
        <f>-(K16+M16)/1000</f>
        <v>-22752.627</v>
      </c>
      <c r="G16" s="35">
        <f>-F16/$F$10*$G$10</f>
        <v>1.0303744756785169E-2</v>
      </c>
      <c r="H16" s="36"/>
      <c r="I16" s="29">
        <f>-D16+F16</f>
        <v>1757.7089999999989</v>
      </c>
      <c r="J16" s="30">
        <f t="shared" si="0"/>
        <v>-7.7253013465214321E-2</v>
      </c>
      <c r="K16" s="40">
        <v>18162388</v>
      </c>
      <c r="L16" s="40"/>
      <c r="M16" s="40">
        <v>4590239</v>
      </c>
    </row>
    <row r="17" spans="1:13" ht="17.25" x14ac:dyDescent="0.4">
      <c r="A17" t="s">
        <v>47</v>
      </c>
      <c r="C17" s="26">
        <v>8</v>
      </c>
      <c r="D17" s="34">
        <v>11206</v>
      </c>
      <c r="E17" s="35">
        <f>+D17/$D$10*$E$10</f>
        <v>3.0001038765218712E-3</v>
      </c>
      <c r="F17" s="34">
        <f>+(K17+M17)/1000</f>
        <v>80100.149999999994</v>
      </c>
      <c r="G17" s="35">
        <f>+F17/$F$10*$G$10</f>
        <v>3.6274119053602269E-2</v>
      </c>
      <c r="H17" s="36"/>
      <c r="I17" s="29">
        <f>+D17-F17</f>
        <v>-68894.149999999994</v>
      </c>
      <c r="J17" s="30">
        <f t="shared" si="0"/>
        <v>-0.86010013714081679</v>
      </c>
      <c r="K17" s="31">
        <f>5325987+17309837</f>
        <v>22635824</v>
      </c>
      <c r="L17" s="31"/>
      <c r="M17" s="31">
        <f>47605667+9858659</f>
        <v>57464326</v>
      </c>
    </row>
    <row r="18" spans="1:13" ht="28.5" customHeight="1" x14ac:dyDescent="0.25">
      <c r="A18" s="43" t="s">
        <v>48</v>
      </c>
      <c r="C18" s="26"/>
      <c r="D18" s="44">
        <f>+D15+D16+D17</f>
        <v>801522.66399999999</v>
      </c>
      <c r="E18" s="45"/>
      <c r="F18" s="44">
        <f>+F15+F16+F17</f>
        <v>632259.00899999985</v>
      </c>
      <c r="G18" s="41"/>
      <c r="H18" s="42"/>
      <c r="I18" s="29">
        <f>+D18-F18</f>
        <v>169263.65500000014</v>
      </c>
      <c r="J18" s="30">
        <f t="shared" si="0"/>
        <v>0.26771252380841942</v>
      </c>
      <c r="K18" s="31"/>
      <c r="L18" s="31"/>
      <c r="M18" s="31"/>
    </row>
    <row r="19" spans="1:13" ht="17.25" x14ac:dyDescent="0.4">
      <c r="A19" t="s">
        <v>49</v>
      </c>
      <c r="C19" s="26">
        <v>9</v>
      </c>
      <c r="D19" s="34">
        <f>-266900549/1000</f>
        <v>-266900.549</v>
      </c>
      <c r="E19" s="35">
        <f>-D19/$D$10*$E$10</f>
        <v>7.1455414215662649E-2</v>
      </c>
      <c r="F19" s="34">
        <f>-(K19+M19)/1000</f>
        <v>-208645.23699999999</v>
      </c>
      <c r="G19" s="35">
        <f>-F19/$F$10*$G$10</f>
        <v>9.4486991184224531E-2</v>
      </c>
      <c r="H19" s="36"/>
      <c r="I19" s="29">
        <f>-D19+F19</f>
        <v>58255.312000000005</v>
      </c>
      <c r="J19" s="30">
        <f t="shared" si="0"/>
        <v>-0.27920748557514402</v>
      </c>
      <c r="K19" s="31">
        <v>142063255</v>
      </c>
      <c r="L19" s="31"/>
      <c r="M19" s="31">
        <v>66581982</v>
      </c>
    </row>
    <row r="20" spans="1:13" x14ac:dyDescent="0.25">
      <c r="A20" s="19" t="s">
        <v>50</v>
      </c>
      <c r="C20" s="26"/>
      <c r="D20" s="37">
        <f>+D18+D19</f>
        <v>534622.11499999999</v>
      </c>
      <c r="E20" s="35">
        <f>+D20/$D$10*$E$10</f>
        <v>0.14313063356111205</v>
      </c>
      <c r="F20" s="37">
        <f>+F18+F19</f>
        <v>423613.77199999988</v>
      </c>
      <c r="G20" s="35">
        <f>+F20/$F$10*$G$10</f>
        <v>0.19183754834758143</v>
      </c>
      <c r="H20" s="36"/>
      <c r="I20" s="29">
        <f>+D20-F20</f>
        <v>111008.34300000011</v>
      </c>
      <c r="J20" s="30">
        <f t="shared" si="0"/>
        <v>0.26205083577877669</v>
      </c>
      <c r="K20" s="46"/>
      <c r="L20" s="46"/>
      <c r="M20" s="46"/>
    </row>
    <row r="21" spans="1:13" x14ac:dyDescent="0.25">
      <c r="C21" s="26"/>
      <c r="E21" s="13"/>
      <c r="G21" s="14"/>
      <c r="H21" s="14"/>
      <c r="I21" s="15"/>
      <c r="J21" s="15"/>
    </row>
    <row r="22" spans="1:13" x14ac:dyDescent="0.25">
      <c r="B22" s="13"/>
      <c r="C22" s="26"/>
      <c r="E22" s="13"/>
      <c r="F22" s="13"/>
      <c r="G22" s="14"/>
      <c r="H22" s="14"/>
      <c r="I22" s="15"/>
      <c r="J22" s="15"/>
    </row>
    <row r="23" spans="1:13" x14ac:dyDescent="0.25">
      <c r="G23" s="202"/>
      <c r="H23" s="202"/>
      <c r="I23" s="202"/>
      <c r="J23" s="14"/>
    </row>
    <row r="24" spans="1:13" x14ac:dyDescent="0.25">
      <c r="A24" t="s">
        <v>51</v>
      </c>
      <c r="F24" s="202" t="s">
        <v>52</v>
      </c>
      <c r="G24" s="202"/>
      <c r="H24" s="202"/>
      <c r="I24" s="202"/>
      <c r="J24" s="202"/>
    </row>
    <row r="25" spans="1:13" x14ac:dyDescent="0.25">
      <c r="A25" s="19" t="s">
        <v>53</v>
      </c>
      <c r="F25" s="203" t="s">
        <v>54</v>
      </c>
      <c r="G25" s="203"/>
      <c r="H25" s="203"/>
      <c r="I25" s="203"/>
      <c r="J25" s="203"/>
    </row>
    <row r="26" spans="1:13" x14ac:dyDescent="0.25">
      <c r="F26" s="203" t="s">
        <v>55</v>
      </c>
      <c r="G26" s="203"/>
      <c r="H26" s="203"/>
      <c r="I26" s="203"/>
      <c r="J26" s="203"/>
    </row>
    <row r="27" spans="1:13" x14ac:dyDescent="0.25">
      <c r="C27" s="26"/>
      <c r="E27" s="13"/>
      <c r="G27" s="14"/>
      <c r="H27" s="14"/>
      <c r="I27" s="15"/>
      <c r="J27" s="15"/>
    </row>
  </sheetData>
  <mergeCells count="9">
    <mergeCell ref="F24:J24"/>
    <mergeCell ref="F25:J25"/>
    <mergeCell ref="F26:J26"/>
    <mergeCell ref="A1:J1"/>
    <mergeCell ref="A2:J2"/>
    <mergeCell ref="A3:J3"/>
    <mergeCell ref="A4:J4"/>
    <mergeCell ref="A5:J5"/>
    <mergeCell ref="G23:I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7"/>
  <sheetViews>
    <sheetView showGridLines="0" zoomScale="77" zoomScaleNormal="100" workbookViewId="0">
      <selection activeCell="D12" sqref="D12:D13"/>
    </sheetView>
  </sheetViews>
  <sheetFormatPr defaultColWidth="11.42578125" defaultRowHeight="15" x14ac:dyDescent="0.25"/>
  <cols>
    <col min="1" max="1" width="52.7109375" bestFit="1" customWidth="1"/>
    <col min="2" max="2" width="5.42578125" bestFit="1" customWidth="1"/>
    <col min="3" max="3" width="15.28515625" bestFit="1" customWidth="1"/>
    <col min="4" max="4" width="6.140625" bestFit="1" customWidth="1"/>
    <col min="5" max="5" width="13.7109375" bestFit="1" customWidth="1"/>
    <col min="6" max="6" width="5.85546875" customWidth="1"/>
    <col min="7" max="7" width="1.140625" customWidth="1"/>
    <col min="8" max="8" width="12.85546875" customWidth="1"/>
    <col min="9" max="9" width="7" bestFit="1" customWidth="1"/>
    <col min="10" max="10" width="15.28515625" bestFit="1" customWidth="1"/>
    <col min="11" max="11" width="14.42578125" bestFit="1" customWidth="1"/>
    <col min="12" max="12" width="15" bestFit="1" customWidth="1"/>
    <col min="13" max="14" width="13.28515625" bestFit="1" customWidth="1"/>
  </cols>
  <sheetData>
    <row r="1" spans="1:14" x14ac:dyDescent="0.25">
      <c r="A1" s="204" t="s">
        <v>30</v>
      </c>
      <c r="B1" s="204"/>
      <c r="C1" s="204"/>
      <c r="D1" s="204"/>
      <c r="E1" s="204"/>
      <c r="F1" s="204"/>
      <c r="G1" s="204"/>
      <c r="H1" s="204"/>
      <c r="I1" s="204"/>
    </row>
    <row r="2" spans="1:14" x14ac:dyDescent="0.25">
      <c r="A2" s="204" t="s">
        <v>31</v>
      </c>
      <c r="B2" s="204"/>
      <c r="C2" s="204"/>
      <c r="D2" s="204"/>
      <c r="E2" s="204"/>
      <c r="F2" s="204"/>
      <c r="G2" s="204"/>
      <c r="H2" s="204"/>
      <c r="I2" s="204"/>
    </row>
    <row r="3" spans="1:14" x14ac:dyDescent="0.25">
      <c r="A3" s="204" t="s">
        <v>56</v>
      </c>
      <c r="B3" s="204"/>
      <c r="C3" s="204"/>
      <c r="D3" s="204"/>
      <c r="E3" s="204"/>
      <c r="F3" s="204"/>
      <c r="G3" s="204"/>
      <c r="H3" s="204"/>
      <c r="I3" s="204"/>
    </row>
    <row r="4" spans="1:14" x14ac:dyDescent="0.25">
      <c r="A4" s="204" t="s">
        <v>57</v>
      </c>
      <c r="B4" s="204"/>
      <c r="C4" s="204"/>
      <c r="D4" s="204"/>
      <c r="E4" s="204"/>
      <c r="F4" s="204"/>
      <c r="G4" s="204"/>
      <c r="H4" s="204"/>
      <c r="I4" s="204"/>
    </row>
    <row r="5" spans="1:14" x14ac:dyDescent="0.25">
      <c r="A5" s="204" t="s">
        <v>34</v>
      </c>
      <c r="B5" s="204"/>
      <c r="C5" s="204"/>
      <c r="D5" s="204"/>
      <c r="E5" s="204"/>
      <c r="F5" s="204"/>
      <c r="G5" s="204"/>
      <c r="H5" s="204"/>
      <c r="I5" s="204"/>
    </row>
    <row r="6" spans="1:14" x14ac:dyDescent="0.25">
      <c r="F6" s="13"/>
    </row>
    <row r="7" spans="1:14" x14ac:dyDescent="0.25">
      <c r="F7" s="13"/>
    </row>
    <row r="8" spans="1:14" x14ac:dyDescent="0.25">
      <c r="F8" s="13"/>
    </row>
    <row r="9" spans="1:14" x14ac:dyDescent="0.25">
      <c r="A9" s="19" t="s">
        <v>58</v>
      </c>
      <c r="B9" s="20" t="s">
        <v>35</v>
      </c>
      <c r="C9" s="21" t="s">
        <v>36</v>
      </c>
      <c r="D9" s="13"/>
      <c r="E9" s="21" t="s">
        <v>37</v>
      </c>
      <c r="F9" s="22"/>
      <c r="H9" s="47" t="s">
        <v>38</v>
      </c>
      <c r="I9" s="47" t="s">
        <v>39</v>
      </c>
    </row>
    <row r="10" spans="1:14" x14ac:dyDescent="0.25">
      <c r="A10" t="s">
        <v>59</v>
      </c>
      <c r="B10" s="1">
        <v>10</v>
      </c>
      <c r="C10" s="180">
        <v>1589075</v>
      </c>
      <c r="D10" s="49">
        <f>C10/$C$22*100%</f>
        <v>0.48503246420269186</v>
      </c>
      <c r="E10" s="50">
        <f>683301319/1000</f>
        <v>683301.31900000002</v>
      </c>
      <c r="F10" s="35">
        <f>+E10/$E$22*100%</f>
        <v>0.27159647435482109</v>
      </c>
      <c r="G10" s="51"/>
      <c r="H10" s="16">
        <f>C10-E10</f>
        <v>905773.68099999998</v>
      </c>
      <c r="I10" s="49">
        <f t="shared" ref="I10:I15" si="0">+H10/E10*100%</f>
        <v>1.3255845639601347</v>
      </c>
      <c r="J10" s="16"/>
    </row>
    <row r="11" spans="1:14" x14ac:dyDescent="0.25">
      <c r="A11" t="s">
        <v>60</v>
      </c>
      <c r="B11" s="26">
        <v>11</v>
      </c>
      <c r="C11" s="50">
        <f>160778032/1000</f>
        <v>160778.03200000001</v>
      </c>
      <c r="D11" s="49">
        <f t="shared" ref="D11:D14" si="1">C11/$C$22*100%</f>
        <v>4.9074187845519722E-2</v>
      </c>
      <c r="E11" s="50">
        <f>128333577/1000</f>
        <v>128333.577</v>
      </c>
      <c r="F11" s="35">
        <f>+E11/$E$22*100%</f>
        <v>5.1009629405593108E-2</v>
      </c>
      <c r="G11" s="51"/>
      <c r="H11" s="16">
        <f t="shared" ref="H11:H15" si="2">C11-E11</f>
        <v>32444.455000000002</v>
      </c>
      <c r="I11" s="49">
        <f t="shared" si="0"/>
        <v>0.25281345504769964</v>
      </c>
      <c r="J11" s="16"/>
    </row>
    <row r="12" spans="1:14" x14ac:dyDescent="0.25">
      <c r="A12" t="s">
        <v>61</v>
      </c>
      <c r="B12" s="26">
        <v>12</v>
      </c>
      <c r="C12" s="50">
        <f>174741855/1000</f>
        <v>174741.85500000001</v>
      </c>
      <c r="D12" s="49">
        <f t="shared" si="1"/>
        <v>5.3336357648317088E-2</v>
      </c>
      <c r="E12" s="50">
        <f>459111556/1000</f>
        <v>459111.55599999998</v>
      </c>
      <c r="F12" s="35">
        <f>+E12/$E$22*100%</f>
        <v>0.18248622749278784</v>
      </c>
      <c r="G12" s="51"/>
      <c r="H12" s="16">
        <f t="shared" si="2"/>
        <v>-284369.701</v>
      </c>
      <c r="I12" s="49">
        <f t="shared" si="0"/>
        <v>-0.61939129452014929</v>
      </c>
      <c r="J12" s="16"/>
      <c r="M12" s="1" t="s">
        <v>62</v>
      </c>
      <c r="N12" s="1" t="s">
        <v>63</v>
      </c>
    </row>
    <row r="13" spans="1:14" x14ac:dyDescent="0.25">
      <c r="A13" t="s">
        <v>64</v>
      </c>
      <c r="B13" s="26">
        <v>13</v>
      </c>
      <c r="C13" s="50">
        <f>7413000/1000</f>
        <v>7413</v>
      </c>
      <c r="D13" s="49">
        <f t="shared" si="1"/>
        <v>2.2626658006290167E-3</v>
      </c>
      <c r="E13" s="50">
        <f>8442000/1000</f>
        <v>8442</v>
      </c>
      <c r="F13" s="35">
        <f>+E13/$E$22*100%</f>
        <v>3.3554997959888318E-3</v>
      </c>
      <c r="G13" s="51"/>
      <c r="H13" s="16">
        <f t="shared" si="2"/>
        <v>-1029</v>
      </c>
      <c r="I13" s="49">
        <f t="shared" si="0"/>
        <v>-0.12189054726368159</v>
      </c>
      <c r="J13" s="16"/>
      <c r="L13" t="s">
        <v>65</v>
      </c>
      <c r="M13" s="52">
        <v>16645929</v>
      </c>
      <c r="N13" s="52"/>
    </row>
    <row r="14" spans="1:14" x14ac:dyDescent="0.25">
      <c r="A14" t="s">
        <v>66</v>
      </c>
      <c r="B14" s="26">
        <v>14</v>
      </c>
      <c r="C14" s="50">
        <f>(228118251-13878562)/1000</f>
        <v>214239.68900000001</v>
      </c>
      <c r="D14" s="49">
        <f t="shared" si="1"/>
        <v>6.5392259198394254E-2</v>
      </c>
      <c r="E14" s="50">
        <f>120543256/1000</f>
        <v>120543.25599999999</v>
      </c>
      <c r="F14" s="35">
        <f>+E14/$E$22*100%</f>
        <v>4.7913156943358147E-2</v>
      </c>
      <c r="G14" s="53"/>
      <c r="H14" s="16">
        <f t="shared" si="2"/>
        <v>93696.433000000019</v>
      </c>
      <c r="I14" s="49">
        <f t="shared" si="0"/>
        <v>0.77728473669236231</v>
      </c>
      <c r="J14" s="16"/>
      <c r="K14" s="16"/>
      <c r="L14" t="s">
        <v>67</v>
      </c>
      <c r="M14" s="52">
        <v>8459190</v>
      </c>
      <c r="N14" s="52"/>
    </row>
    <row r="15" spans="1:14" x14ac:dyDescent="0.25">
      <c r="A15" s="19" t="s">
        <v>68</v>
      </c>
      <c r="B15" s="26"/>
      <c r="C15" s="37">
        <f>+SUM(C10:C14)</f>
        <v>2146247.5760000004</v>
      </c>
      <c r="D15" s="49"/>
      <c r="E15" s="37">
        <f>+SUM(E10:E14)</f>
        <v>1399731.7080000001</v>
      </c>
      <c r="F15" s="14"/>
      <c r="G15" s="51"/>
      <c r="H15" s="16">
        <f t="shared" si="2"/>
        <v>746515.86800000025</v>
      </c>
      <c r="I15" s="49">
        <f t="shared" si="0"/>
        <v>0.53332782542066992</v>
      </c>
      <c r="J15" s="16"/>
      <c r="L15" t="s">
        <v>69</v>
      </c>
      <c r="M15" s="52"/>
      <c r="N15" s="52">
        <v>13878562</v>
      </c>
    </row>
    <row r="16" spans="1:14" x14ac:dyDescent="0.25">
      <c r="B16" s="26"/>
      <c r="C16" s="27"/>
      <c r="D16" s="49"/>
      <c r="E16" s="27"/>
      <c r="F16" s="14"/>
      <c r="G16" s="51"/>
      <c r="I16" s="54"/>
      <c r="J16" s="16"/>
      <c r="L16" t="s">
        <v>70</v>
      </c>
      <c r="M16" s="52"/>
      <c r="N16" s="52">
        <f>+M13+M14-N15</f>
        <v>11226557</v>
      </c>
    </row>
    <row r="17" spans="1:12" x14ac:dyDescent="0.25">
      <c r="A17" s="19" t="s">
        <v>71</v>
      </c>
      <c r="B17" s="26"/>
      <c r="C17" s="27"/>
      <c r="D17" s="49"/>
      <c r="E17" s="27"/>
      <c r="F17" s="14"/>
      <c r="G17" s="51"/>
      <c r="I17" s="54"/>
      <c r="J17" s="16"/>
    </row>
    <row r="18" spans="1:12" x14ac:dyDescent="0.25">
      <c r="A18" t="s">
        <v>72</v>
      </c>
      <c r="B18" s="26">
        <v>15</v>
      </c>
      <c r="C18" s="55">
        <f>1128576013/1000</f>
        <v>1128576.013</v>
      </c>
      <c r="D18" s="49">
        <f t="shared" ref="D18:D19" si="3">C18/$C$22*100%</f>
        <v>0.3444746186463441</v>
      </c>
      <c r="E18" s="27">
        <f>1114437913/1000</f>
        <v>1114437.9129999999</v>
      </c>
      <c r="F18" s="35">
        <f>+E18/$E$22*100%</f>
        <v>0.44296330131647937</v>
      </c>
      <c r="G18" s="51"/>
      <c r="H18" s="16">
        <f t="shared" ref="H18:H19" si="4">C18-E18</f>
        <v>14138.100000000093</v>
      </c>
      <c r="I18" s="49">
        <f>+H18/E18*100%</f>
        <v>1.2686305656939808E-2</v>
      </c>
      <c r="J18" s="16"/>
    </row>
    <row r="19" spans="1:12" x14ac:dyDescent="0.25">
      <c r="A19" t="s">
        <v>73</v>
      </c>
      <c r="B19" s="26">
        <v>16</v>
      </c>
      <c r="C19" s="55">
        <f>1400000/1000</f>
        <v>1400</v>
      </c>
      <c r="D19" s="49">
        <f t="shared" si="3"/>
        <v>4.2732120880623547E-4</v>
      </c>
      <c r="E19" s="55">
        <f>1700000/1000</f>
        <v>1700</v>
      </c>
      <c r="F19" s="35">
        <f>+E19/$E$22*100%</f>
        <v>6.7571069097145393E-4</v>
      </c>
      <c r="G19" s="51"/>
      <c r="H19" s="16">
        <f t="shared" si="4"/>
        <v>-300</v>
      </c>
      <c r="I19" s="49">
        <f>+H19/E19*100%</f>
        <v>-0.17647058823529413</v>
      </c>
      <c r="J19" s="16"/>
    </row>
    <row r="20" spans="1:12" x14ac:dyDescent="0.25">
      <c r="A20" s="19" t="s">
        <v>74</v>
      </c>
      <c r="B20" s="26"/>
      <c r="C20" s="37">
        <f>C18+C19</f>
        <v>1129976.013</v>
      </c>
      <c r="D20" s="49"/>
      <c r="E20" s="37">
        <f>SUM(E18:E19)</f>
        <v>1116137.9129999999</v>
      </c>
      <c r="F20" s="14"/>
      <c r="G20" s="51"/>
      <c r="H20" s="16">
        <f>C20-E20</f>
        <v>13838.100000000093</v>
      </c>
      <c r="I20" s="49">
        <f>+H20/E20*100%</f>
        <v>1.2398199038688235E-2</v>
      </c>
      <c r="J20" s="16"/>
    </row>
    <row r="21" spans="1:12" x14ac:dyDescent="0.25">
      <c r="B21" s="26"/>
      <c r="C21" s="56"/>
      <c r="D21" s="49"/>
      <c r="E21" s="57"/>
      <c r="F21" s="14"/>
      <c r="G21" s="51"/>
      <c r="H21" s="16"/>
      <c r="I21" s="49"/>
      <c r="J21" s="16"/>
    </row>
    <row r="22" spans="1:12" x14ac:dyDescent="0.25">
      <c r="A22" s="19" t="s">
        <v>75</v>
      </c>
      <c r="B22" s="26"/>
      <c r="C22" s="37">
        <f>ROUNDUP(C20+C15,0)</f>
        <v>3276224</v>
      </c>
      <c r="D22" s="58">
        <f>SUM(D10:D19)</f>
        <v>0.99999987455070249</v>
      </c>
      <c r="E22" s="59">
        <f>+E15+E20</f>
        <v>2515869.6210000003</v>
      </c>
      <c r="F22" s="45">
        <f>SUM(F10:F19)</f>
        <v>0.99999999999999989</v>
      </c>
      <c r="G22" s="51"/>
      <c r="H22" s="59">
        <f>+C22-E22</f>
        <v>760354.37899999972</v>
      </c>
      <c r="I22" s="49">
        <f>+H22/E22*100%</f>
        <v>0.30222328401015325</v>
      </c>
      <c r="J22" s="16"/>
    </row>
    <row r="23" spans="1:12" x14ac:dyDescent="0.25">
      <c r="B23" s="26"/>
      <c r="C23" s="37"/>
      <c r="D23" s="58"/>
      <c r="F23" s="14"/>
      <c r="G23" s="51"/>
      <c r="I23" s="54"/>
      <c r="J23" s="16"/>
    </row>
    <row r="24" spans="1:12" x14ac:dyDescent="0.25">
      <c r="A24" s="19" t="s">
        <v>76</v>
      </c>
      <c r="B24" s="26"/>
      <c r="C24" s="27"/>
      <c r="D24" s="49"/>
      <c r="F24" s="14"/>
      <c r="G24" s="51"/>
      <c r="I24" s="54"/>
      <c r="J24" s="16"/>
    </row>
    <row r="25" spans="1:12" x14ac:dyDescent="0.25">
      <c r="A25" t="s">
        <v>77</v>
      </c>
      <c r="B25" s="26">
        <v>17</v>
      </c>
      <c r="C25" s="60">
        <f>70495647/1000</f>
        <v>70495.646999999997</v>
      </c>
      <c r="D25" s="49">
        <f>C25/$C$46*100%</f>
        <v>2.1517348479860865E-2</v>
      </c>
      <c r="E25" s="52">
        <f>203166198/1000</f>
        <v>203166.198</v>
      </c>
      <c r="F25" s="14">
        <f>+E25/$E$46*100%</f>
        <v>8.075386615832543E-2</v>
      </c>
      <c r="G25" s="51"/>
      <c r="H25" s="16">
        <f t="shared" ref="H25:H29" si="5">C25-E25</f>
        <v>-132670.55100000001</v>
      </c>
      <c r="I25" s="49">
        <f>+H25/E25*100%</f>
        <v>-0.6530148829186635</v>
      </c>
      <c r="J25" s="16"/>
    </row>
    <row r="26" spans="1:12" x14ac:dyDescent="0.25">
      <c r="A26" t="s">
        <v>78</v>
      </c>
      <c r="B26" s="26">
        <v>18</v>
      </c>
      <c r="C26" s="61">
        <f>102980884.373525/1000</f>
        <v>102980.884373525</v>
      </c>
      <c r="D26" s="49">
        <f t="shared" ref="D26:D28" si="6">C26/$C$46*100%</f>
        <v>3.1432800039829345E-2</v>
      </c>
      <c r="E26" s="27">
        <f>46847517/1000</f>
        <v>46847.517</v>
      </c>
      <c r="F26" s="14">
        <f>+E26/$E$46*100%</f>
        <v>1.8620804813544209E-2</v>
      </c>
      <c r="G26" s="51"/>
      <c r="H26" s="16">
        <f t="shared" si="5"/>
        <v>56133.367373524998</v>
      </c>
      <c r="I26" s="49">
        <f>+H26/E26*100%</f>
        <v>1.1982143551711608</v>
      </c>
      <c r="J26" s="16"/>
    </row>
    <row r="27" spans="1:12" x14ac:dyDescent="0.25">
      <c r="A27" t="s">
        <v>79</v>
      </c>
      <c r="B27" s="26">
        <v>19</v>
      </c>
      <c r="C27" s="27">
        <f>(701001875-13878562)/1000</f>
        <v>687123.31299999997</v>
      </c>
      <c r="D27" s="49">
        <f t="shared" si="6"/>
        <v>0.20973027986334405</v>
      </c>
      <c r="E27" s="27">
        <f>336048251/1000</f>
        <v>336048.25099999999</v>
      </c>
      <c r="F27" s="14">
        <f>+E27/$E$46*100%</f>
        <v>0.1335714097676492</v>
      </c>
      <c r="G27" s="51"/>
      <c r="H27" s="16">
        <f t="shared" si="5"/>
        <v>351075.06199999998</v>
      </c>
      <c r="I27" s="49">
        <f>+H27/E27*100%</f>
        <v>1.0447162303487185</v>
      </c>
      <c r="J27" s="16"/>
      <c r="L27" s="52"/>
    </row>
    <row r="28" spans="1:12" x14ac:dyDescent="0.25">
      <c r="A28" t="s">
        <v>80</v>
      </c>
      <c r="B28" s="26">
        <v>20</v>
      </c>
      <c r="C28" s="27">
        <f>+(8226140+48400719+3911015)/1000</f>
        <v>60537.874000000003</v>
      </c>
      <c r="D28" s="49">
        <f t="shared" si="6"/>
        <v>1.847794277408233E-2</v>
      </c>
      <c r="E28" s="55">
        <f>19800574/1000</f>
        <v>19800.574000000001</v>
      </c>
      <c r="F28" s="14">
        <f>+E28/$E$46*100%</f>
        <v>7.8702703421856552E-3</v>
      </c>
      <c r="G28" s="51"/>
      <c r="H28" s="16">
        <f t="shared" si="5"/>
        <v>40737.300000000003</v>
      </c>
      <c r="I28" s="49">
        <f>+H28/E28*100%</f>
        <v>2.057379750708237</v>
      </c>
      <c r="J28" s="16"/>
    </row>
    <row r="29" spans="1:12" x14ac:dyDescent="0.25">
      <c r="A29" s="19" t="s">
        <v>81</v>
      </c>
      <c r="B29" s="26"/>
      <c r="C29" s="62">
        <f>SUM(C25:C28)</f>
        <v>921137.71837352484</v>
      </c>
      <c r="D29" s="49"/>
      <c r="E29" s="37">
        <f>SUM(E25:E28)</f>
        <v>605862.54</v>
      </c>
      <c r="F29" s="14"/>
      <c r="G29" s="51"/>
      <c r="H29" s="16">
        <f t="shared" si="5"/>
        <v>315275.1783735248</v>
      </c>
      <c r="I29" s="49">
        <f>+H29/E29*100%</f>
        <v>0.52037410725793476</v>
      </c>
      <c r="J29" s="16"/>
    </row>
    <row r="30" spans="1:12" x14ac:dyDescent="0.25">
      <c r="A30" s="19"/>
      <c r="B30" s="26"/>
      <c r="C30" s="27"/>
      <c r="D30" s="49"/>
      <c r="E30" s="37"/>
      <c r="F30" s="14"/>
      <c r="G30" s="51"/>
      <c r="H30" s="16"/>
      <c r="I30" s="49"/>
      <c r="J30" s="16"/>
      <c r="K30" s="63"/>
    </row>
    <row r="31" spans="1:12" x14ac:dyDescent="0.25">
      <c r="A31" s="19" t="s">
        <v>82</v>
      </c>
      <c r="B31" s="26"/>
      <c r="C31" s="55"/>
      <c r="D31" s="49"/>
      <c r="E31" s="27"/>
      <c r="F31" s="14"/>
      <c r="G31" s="51"/>
      <c r="H31" s="16"/>
      <c r="I31" s="49"/>
      <c r="J31" s="16"/>
    </row>
    <row r="32" spans="1:12" x14ac:dyDescent="0.25">
      <c r="A32" t="s">
        <v>78</v>
      </c>
      <c r="B32" s="26">
        <v>21</v>
      </c>
      <c r="C32" s="64">
        <f>27826111.2619117/1000</f>
        <v>27826.111261911701</v>
      </c>
      <c r="D32" s="49">
        <f t="shared" ref="D32" si="7">C32/$C$46*100%</f>
        <v>8.4933489987251976E-3</v>
      </c>
      <c r="E32" s="55">
        <f>130806996/1000</f>
        <v>130806.996</v>
      </c>
      <c r="F32" s="14">
        <f>+E32/$E$46*100%</f>
        <v>5.1992756430656886E-2</v>
      </c>
      <c r="G32" s="51"/>
      <c r="H32" s="16">
        <f t="shared" ref="H32:H33" si="8">C32-E32</f>
        <v>-102980.88473808829</v>
      </c>
      <c r="I32" s="49">
        <f>+H32/E32*100%</f>
        <v>-0.78727352425468355</v>
      </c>
      <c r="J32" s="16"/>
    </row>
    <row r="33" spans="1:13" x14ac:dyDescent="0.25">
      <c r="A33" s="19" t="s">
        <v>83</v>
      </c>
      <c r="B33" s="26"/>
      <c r="C33" s="37">
        <f>C32</f>
        <v>27826.111261911701</v>
      </c>
      <c r="D33" s="49"/>
      <c r="E33" s="37">
        <f>E32</f>
        <v>130806.996</v>
      </c>
      <c r="F33" s="14"/>
      <c r="G33" s="51"/>
      <c r="H33" s="16">
        <f t="shared" si="8"/>
        <v>-102980.88473808829</v>
      </c>
      <c r="I33" s="49">
        <f>+H33/E33*100%</f>
        <v>-0.78727352425468355</v>
      </c>
      <c r="J33" s="16"/>
    </row>
    <row r="34" spans="1:13" x14ac:dyDescent="0.25">
      <c r="A34" s="19"/>
      <c r="B34" s="26"/>
      <c r="C34" s="56"/>
      <c r="D34" s="49"/>
      <c r="E34" s="57"/>
      <c r="F34" s="14"/>
      <c r="G34" s="51"/>
      <c r="H34" s="16"/>
      <c r="I34" s="49"/>
      <c r="J34" s="16"/>
    </row>
    <row r="35" spans="1:13" x14ac:dyDescent="0.25">
      <c r="A35" s="19" t="s">
        <v>84</v>
      </c>
      <c r="B35" s="26"/>
      <c r="C35" s="37">
        <f>C33+C29</f>
        <v>948963.82963543653</v>
      </c>
      <c r="D35" s="49"/>
      <c r="E35" s="37">
        <f>+E29+E33</f>
        <v>736669.53600000008</v>
      </c>
      <c r="F35" s="14"/>
      <c r="G35" s="51"/>
      <c r="H35" s="16">
        <f>C35-E35</f>
        <v>212294.29363543645</v>
      </c>
      <c r="I35" s="49">
        <f>+H35/E35*100%</f>
        <v>0.28818117658042591</v>
      </c>
      <c r="J35" s="16"/>
    </row>
    <row r="36" spans="1:13" ht="17.25" x14ac:dyDescent="0.4">
      <c r="A36" s="19"/>
      <c r="B36" s="26"/>
      <c r="C36" s="34"/>
      <c r="D36" s="49"/>
      <c r="E36" s="27"/>
      <c r="F36" s="14"/>
      <c r="G36" s="51"/>
      <c r="H36" s="16"/>
      <c r="I36" s="49"/>
      <c r="J36" s="16"/>
    </row>
    <row r="37" spans="1:13" x14ac:dyDescent="0.25">
      <c r="A37" s="19" t="s">
        <v>85</v>
      </c>
      <c r="B37" s="26"/>
      <c r="C37" s="27"/>
      <c r="D37" s="49"/>
      <c r="E37" s="27"/>
      <c r="F37" s="14"/>
      <c r="G37" s="51"/>
      <c r="H37" s="16"/>
      <c r="I37" s="49"/>
      <c r="J37" s="16"/>
    </row>
    <row r="38" spans="1:13" x14ac:dyDescent="0.25">
      <c r="A38" t="s">
        <v>86</v>
      </c>
      <c r="B38" s="26">
        <v>22</v>
      </c>
      <c r="C38" s="27">
        <f>700000000/1000</f>
        <v>700000</v>
      </c>
      <c r="D38" s="49">
        <f t="shared" ref="D38:D43" si="9">C38/$C$46*100%</f>
        <v>0.21366062412197742</v>
      </c>
      <c r="E38" s="27">
        <f>700000000/1000</f>
        <v>700000</v>
      </c>
      <c r="F38" s="35">
        <f t="shared" ref="F38:F43" si="10">E38/$E$46*100%</f>
        <v>0.27823381481415427</v>
      </c>
      <c r="G38" s="51"/>
      <c r="H38" s="16">
        <f t="shared" ref="H38:H44" si="11">C38-E38</f>
        <v>0</v>
      </c>
      <c r="I38" s="49">
        <f t="shared" ref="I38:I44" si="12">+H38/E38*100%</f>
        <v>0</v>
      </c>
      <c r="J38" s="16"/>
    </row>
    <row r="39" spans="1:13" x14ac:dyDescent="0.25">
      <c r="A39" t="s">
        <v>87</v>
      </c>
      <c r="B39" s="26">
        <v>23</v>
      </c>
      <c r="C39" s="55">
        <f>95690000/1000</f>
        <v>95690</v>
      </c>
      <c r="D39" s="49">
        <f t="shared" si="9"/>
        <v>2.9207407317474315E-2</v>
      </c>
      <c r="E39" s="27">
        <f>95690000/1000</f>
        <v>95690</v>
      </c>
      <c r="F39" s="35">
        <f t="shared" si="10"/>
        <v>3.8034562485094889E-2</v>
      </c>
      <c r="G39" s="51"/>
      <c r="H39" s="16">
        <f t="shared" si="11"/>
        <v>0</v>
      </c>
      <c r="I39" s="49">
        <f t="shared" si="12"/>
        <v>0</v>
      </c>
      <c r="J39" s="16"/>
    </row>
    <row r="40" spans="1:13" x14ac:dyDescent="0.25">
      <c r="A40" t="s">
        <v>88</v>
      </c>
      <c r="B40" s="26">
        <v>24</v>
      </c>
      <c r="C40" s="27">
        <f>17975600/1000</f>
        <v>17975.599999999999</v>
      </c>
      <c r="D40" s="49">
        <f t="shared" si="9"/>
        <v>5.4866827356671675E-3</v>
      </c>
      <c r="E40" s="27">
        <f>4538100/1000</f>
        <v>4538.1000000000004</v>
      </c>
      <c r="F40" s="35">
        <f t="shared" si="10"/>
        <v>1.8037898214401625E-3</v>
      </c>
      <c r="G40" s="51"/>
      <c r="H40" s="16">
        <f t="shared" si="11"/>
        <v>13437.499999999998</v>
      </c>
      <c r="I40" s="49">
        <f t="shared" si="12"/>
        <v>2.9610409642802047</v>
      </c>
      <c r="J40" s="16"/>
    </row>
    <row r="41" spans="1:13" x14ac:dyDescent="0.25">
      <c r="A41" t="s">
        <v>89</v>
      </c>
      <c r="B41" s="26">
        <v>25</v>
      </c>
      <c r="C41" s="27">
        <f>56024220/1000</f>
        <v>56024.22</v>
      </c>
      <c r="D41" s="49">
        <f t="shared" si="9"/>
        <v>1.7100242587352814E-2</v>
      </c>
      <c r="E41" s="27">
        <f>(27181074+28012081)/1000</f>
        <v>55193.154999999999</v>
      </c>
      <c r="F41" s="35">
        <f t="shared" si="10"/>
        <v>2.1938002953255591E-2</v>
      </c>
      <c r="G41" s="51"/>
      <c r="H41" s="16">
        <f t="shared" si="11"/>
        <v>831.06500000000233</v>
      </c>
      <c r="I41" s="49">
        <f t="shared" si="12"/>
        <v>1.5057392533548814E-2</v>
      </c>
      <c r="J41" s="16"/>
    </row>
    <row r="42" spans="1:13" x14ac:dyDescent="0.25">
      <c r="A42" t="s">
        <v>90</v>
      </c>
      <c r="B42" s="26">
        <v>26</v>
      </c>
      <c r="C42" s="27">
        <f>922947765/1000</f>
        <v>922947.76500000001</v>
      </c>
      <c r="D42" s="49">
        <f t="shared" si="9"/>
        <v>0.28171085071697738</v>
      </c>
      <c r="E42" s="27">
        <f>(663359444-135181599-28012081)/1000</f>
        <v>500165.76400000002</v>
      </c>
      <c r="F42" s="35">
        <f t="shared" si="10"/>
        <v>0.19880432651022287</v>
      </c>
      <c r="G42" s="51"/>
      <c r="H42" s="16">
        <f t="shared" si="11"/>
        <v>422782.00099999999</v>
      </c>
      <c r="I42" s="49">
        <f t="shared" si="12"/>
        <v>0.84528376676337236</v>
      </c>
      <c r="J42" s="16"/>
    </row>
    <row r="43" spans="1:13" x14ac:dyDescent="0.25">
      <c r="A43" t="s">
        <v>91</v>
      </c>
      <c r="B43" s="26">
        <v>27</v>
      </c>
      <c r="C43" s="57">
        <f>534622283/1000</f>
        <v>534622.28300000005</v>
      </c>
      <c r="D43" s="49">
        <f t="shared" si="9"/>
        <v>0.16318247236470923</v>
      </c>
      <c r="E43" s="27">
        <f>(288431459+135181599)/1000</f>
        <v>423613.05800000002</v>
      </c>
      <c r="F43" s="35">
        <f t="shared" si="10"/>
        <v>0.16837639590347087</v>
      </c>
      <c r="G43" s="51"/>
      <c r="H43" s="16">
        <f t="shared" si="11"/>
        <v>111009.22500000003</v>
      </c>
      <c r="I43" s="49">
        <f t="shared" si="12"/>
        <v>0.26205335955436959</v>
      </c>
      <c r="J43" s="16"/>
      <c r="K43" s="27"/>
    </row>
    <row r="44" spans="1:13" x14ac:dyDescent="0.25">
      <c r="A44" s="19" t="s">
        <v>92</v>
      </c>
      <c r="B44" s="26"/>
      <c r="C44" s="37">
        <f>SUM(C38:C43)</f>
        <v>2327259.8679999998</v>
      </c>
      <c r="D44" s="49"/>
      <c r="E44" s="65">
        <f>SUM(E38:E43)</f>
        <v>1779200.077</v>
      </c>
      <c r="F44" s="14"/>
      <c r="G44" s="51"/>
      <c r="H44" s="16">
        <f t="shared" si="11"/>
        <v>548059.79099999974</v>
      </c>
      <c r="I44" s="49">
        <f t="shared" si="12"/>
        <v>0.30803718934416374</v>
      </c>
      <c r="J44" s="16"/>
    </row>
    <row r="45" spans="1:13" x14ac:dyDescent="0.25">
      <c r="B45" s="1"/>
      <c r="C45" s="57"/>
      <c r="D45" s="49"/>
      <c r="E45" s="57"/>
      <c r="F45" s="14"/>
      <c r="G45" s="51"/>
      <c r="H45" s="16"/>
      <c r="I45" s="49"/>
      <c r="J45" s="16"/>
      <c r="K45" s="16"/>
    </row>
    <row r="46" spans="1:13" x14ac:dyDescent="0.25">
      <c r="A46" s="19" t="s">
        <v>93</v>
      </c>
      <c r="B46" s="1"/>
      <c r="C46" s="37">
        <f>C44+C35</f>
        <v>3276223.6976354364</v>
      </c>
      <c r="D46" s="58">
        <f>SUM(D25:D43)</f>
        <v>1.0000000000000002</v>
      </c>
      <c r="E46" s="37">
        <f>E44+E35</f>
        <v>2515869.6129999999</v>
      </c>
      <c r="F46" s="45">
        <f>SUM(F25:F43)</f>
        <v>0.99999999999999989</v>
      </c>
      <c r="G46" s="51"/>
      <c r="H46" s="16">
        <f>C46-E46</f>
        <v>760354.08463543653</v>
      </c>
      <c r="I46" s="49">
        <f>+H46/E46*100%</f>
        <v>0.30222316796805976</v>
      </c>
      <c r="J46" s="16"/>
      <c r="K46" s="16"/>
    </row>
    <row r="47" spans="1:13" x14ac:dyDescent="0.25">
      <c r="C47" s="27"/>
      <c r="D47" s="66"/>
      <c r="E47" s="27"/>
      <c r="F47" s="14"/>
      <c r="G47" s="51"/>
      <c r="H47" s="16"/>
      <c r="I47" s="49"/>
      <c r="J47" s="16"/>
      <c r="M47" s="16"/>
    </row>
    <row r="48" spans="1:13" x14ac:dyDescent="0.25">
      <c r="C48" s="16"/>
      <c r="E48" s="27"/>
      <c r="F48" s="14"/>
      <c r="G48" s="67"/>
      <c r="H48" s="16"/>
      <c r="I48" s="66"/>
    </row>
    <row r="49" spans="1:10" x14ac:dyDescent="0.25">
      <c r="F49" s="45"/>
      <c r="G49" s="67"/>
      <c r="I49" s="68"/>
      <c r="J49" s="69"/>
    </row>
    <row r="50" spans="1:10" x14ac:dyDescent="0.25">
      <c r="F50" s="13"/>
      <c r="G50" s="67"/>
      <c r="H50" s="16"/>
      <c r="I50" s="66"/>
      <c r="J50" s="69"/>
    </row>
    <row r="51" spans="1:10" x14ac:dyDescent="0.25">
      <c r="A51" s="1" t="s">
        <v>51</v>
      </c>
      <c r="B51" s="19"/>
      <c r="C51" s="19"/>
      <c r="D51" s="19"/>
      <c r="E51" s="19"/>
      <c r="F51" s="48" t="s">
        <v>52</v>
      </c>
      <c r="G51" s="48"/>
    </row>
    <row r="52" spans="1:10" x14ac:dyDescent="0.25">
      <c r="A52" s="20" t="s">
        <v>53</v>
      </c>
      <c r="F52" s="70" t="s">
        <v>54</v>
      </c>
      <c r="G52" s="70"/>
    </row>
    <row r="53" spans="1:10" x14ac:dyDescent="0.25">
      <c r="E53" s="27"/>
      <c r="F53" s="70" t="s">
        <v>55</v>
      </c>
      <c r="G53" s="70"/>
    </row>
    <row r="54" spans="1:10" x14ac:dyDescent="0.25">
      <c r="E54" s="27"/>
    </row>
    <row r="56" spans="1:10" x14ac:dyDescent="0.25">
      <c r="F56" s="13"/>
    </row>
    <row r="57" spans="1:10" x14ac:dyDescent="0.25">
      <c r="F57" s="13"/>
    </row>
  </sheetData>
  <mergeCells count="5">
    <mergeCell ref="A1:I1"/>
    <mergeCell ref="A2:I2"/>
    <mergeCell ref="A3:I3"/>
    <mergeCell ref="A4:I4"/>
    <mergeCell ref="A5:I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H46"/>
  <sheetViews>
    <sheetView showGridLines="0" topLeftCell="A3" zoomScaleNormal="100" workbookViewId="0">
      <pane xSplit="4" ySplit="3" topLeftCell="E8" activePane="bottomRight" state="frozen"/>
      <selection activeCell="D12" sqref="D12:D13"/>
      <selection pane="topRight" activeCell="D12" sqref="D12:D13"/>
      <selection pane="bottomLeft" activeCell="D12" sqref="D12:D13"/>
      <selection pane="bottomRight" activeCell="D12" sqref="D12:D13"/>
    </sheetView>
  </sheetViews>
  <sheetFormatPr defaultColWidth="11.42578125" defaultRowHeight="12.75" x14ac:dyDescent="0.2"/>
  <cols>
    <col min="1" max="1" width="12.140625" style="79" bestFit="1" customWidth="1"/>
    <col min="2" max="3" width="13.7109375" style="79" customWidth="1"/>
    <col min="4" max="4" width="30.7109375" style="79" bestFit="1" customWidth="1"/>
    <col min="5" max="5" width="15.7109375" style="79" customWidth="1"/>
    <col min="6" max="6" width="12.28515625" style="79" bestFit="1" customWidth="1"/>
    <col min="7" max="7" width="15" style="79" bestFit="1" customWidth="1"/>
    <col min="8" max="245" width="11.42578125" style="79"/>
    <col min="246" max="247" width="13.7109375" style="79" customWidth="1"/>
    <col min="248" max="248" width="11.42578125" style="79"/>
    <col min="249" max="249" width="4.85546875" style="79" bestFit="1" customWidth="1"/>
    <col min="250" max="501" width="11.42578125" style="79"/>
    <col min="502" max="503" width="13.7109375" style="79" customWidth="1"/>
    <col min="504" max="504" width="11.42578125" style="79"/>
    <col min="505" max="505" width="4.85546875" style="79" bestFit="1" customWidth="1"/>
    <col min="506" max="757" width="11.42578125" style="79"/>
    <col min="758" max="759" width="13.7109375" style="79" customWidth="1"/>
    <col min="760" max="760" width="11.42578125" style="79"/>
    <col min="761" max="761" width="4.85546875" style="79" bestFit="1" customWidth="1"/>
    <col min="762" max="1013" width="11.42578125" style="79"/>
    <col min="1014" max="1015" width="13.7109375" style="79" customWidth="1"/>
    <col min="1016" max="1016" width="11.42578125" style="79"/>
    <col min="1017" max="1017" width="4.85546875" style="79" bestFit="1" customWidth="1"/>
    <col min="1018" max="1269" width="11.42578125" style="79"/>
    <col min="1270" max="1271" width="13.7109375" style="79" customWidth="1"/>
    <col min="1272" max="1272" width="11.42578125" style="79"/>
    <col min="1273" max="1273" width="4.85546875" style="79" bestFit="1" customWidth="1"/>
    <col min="1274" max="1525" width="11.42578125" style="79"/>
    <col min="1526" max="1527" width="13.7109375" style="79" customWidth="1"/>
    <col min="1528" max="1528" width="11.42578125" style="79"/>
    <col min="1529" max="1529" width="4.85546875" style="79" bestFit="1" customWidth="1"/>
    <col min="1530" max="1781" width="11.42578125" style="79"/>
    <col min="1782" max="1783" width="13.7109375" style="79" customWidth="1"/>
    <col min="1784" max="1784" width="11.42578125" style="79"/>
    <col min="1785" max="1785" width="4.85546875" style="79" bestFit="1" customWidth="1"/>
    <col min="1786" max="2037" width="11.42578125" style="79"/>
    <col min="2038" max="2039" width="13.7109375" style="79" customWidth="1"/>
    <col min="2040" max="2040" width="11.42578125" style="79"/>
    <col min="2041" max="2041" width="4.85546875" style="79" bestFit="1" customWidth="1"/>
    <col min="2042" max="2293" width="11.42578125" style="79"/>
    <col min="2294" max="2295" width="13.7109375" style="79" customWidth="1"/>
    <col min="2296" max="2296" width="11.42578125" style="79"/>
    <col min="2297" max="2297" width="4.85546875" style="79" bestFit="1" customWidth="1"/>
    <col min="2298" max="2549" width="11.42578125" style="79"/>
    <col min="2550" max="2551" width="13.7109375" style="79" customWidth="1"/>
    <col min="2552" max="2552" width="11.42578125" style="79"/>
    <col min="2553" max="2553" width="4.85546875" style="79" bestFit="1" customWidth="1"/>
    <col min="2554" max="2805" width="11.42578125" style="79"/>
    <col min="2806" max="2807" width="13.7109375" style="79" customWidth="1"/>
    <col min="2808" max="2808" width="11.42578125" style="79"/>
    <col min="2809" max="2809" width="4.85546875" style="79" bestFit="1" customWidth="1"/>
    <col min="2810" max="3061" width="11.42578125" style="79"/>
    <col min="3062" max="3063" width="13.7109375" style="79" customWidth="1"/>
    <col min="3064" max="3064" width="11.42578125" style="79"/>
    <col min="3065" max="3065" width="4.85546875" style="79" bestFit="1" customWidth="1"/>
    <col min="3066" max="3317" width="11.42578125" style="79"/>
    <col min="3318" max="3319" width="13.7109375" style="79" customWidth="1"/>
    <col min="3320" max="3320" width="11.42578125" style="79"/>
    <col min="3321" max="3321" width="4.85546875" style="79" bestFit="1" customWidth="1"/>
    <col min="3322" max="3573" width="11.42578125" style="79"/>
    <col min="3574" max="3575" width="13.7109375" style="79" customWidth="1"/>
    <col min="3576" max="3576" width="11.42578125" style="79"/>
    <col min="3577" max="3577" width="4.85546875" style="79" bestFit="1" customWidth="1"/>
    <col min="3578" max="3829" width="11.42578125" style="79"/>
    <col min="3830" max="3831" width="13.7109375" style="79" customWidth="1"/>
    <col min="3832" max="3832" width="11.42578125" style="79"/>
    <col min="3833" max="3833" width="4.85546875" style="79" bestFit="1" customWidth="1"/>
    <col min="3834" max="4085" width="11.42578125" style="79"/>
    <col min="4086" max="4087" width="13.7109375" style="79" customWidth="1"/>
    <col min="4088" max="4088" width="11.42578125" style="79"/>
    <col min="4089" max="4089" width="4.85546875" style="79" bestFit="1" customWidth="1"/>
    <col min="4090" max="4341" width="11.42578125" style="79"/>
    <col min="4342" max="4343" width="13.7109375" style="79" customWidth="1"/>
    <col min="4344" max="4344" width="11.42578125" style="79"/>
    <col min="4345" max="4345" width="4.85546875" style="79" bestFit="1" customWidth="1"/>
    <col min="4346" max="4597" width="11.42578125" style="79"/>
    <col min="4598" max="4599" width="13.7109375" style="79" customWidth="1"/>
    <col min="4600" max="4600" width="11.42578125" style="79"/>
    <col min="4601" max="4601" width="4.85546875" style="79" bestFit="1" customWidth="1"/>
    <col min="4602" max="4853" width="11.42578125" style="79"/>
    <col min="4854" max="4855" width="13.7109375" style="79" customWidth="1"/>
    <col min="4856" max="4856" width="11.42578125" style="79"/>
    <col min="4857" max="4857" width="4.85546875" style="79" bestFit="1" customWidth="1"/>
    <col min="4858" max="5109" width="11.42578125" style="79"/>
    <col min="5110" max="5111" width="13.7109375" style="79" customWidth="1"/>
    <col min="5112" max="5112" width="11.42578125" style="79"/>
    <col min="5113" max="5113" width="4.85546875" style="79" bestFit="1" customWidth="1"/>
    <col min="5114" max="5365" width="11.42578125" style="79"/>
    <col min="5366" max="5367" width="13.7109375" style="79" customWidth="1"/>
    <col min="5368" max="5368" width="11.42578125" style="79"/>
    <col min="5369" max="5369" width="4.85546875" style="79" bestFit="1" customWidth="1"/>
    <col min="5370" max="5621" width="11.42578125" style="79"/>
    <col min="5622" max="5623" width="13.7109375" style="79" customWidth="1"/>
    <col min="5624" max="5624" width="11.42578125" style="79"/>
    <col min="5625" max="5625" width="4.85546875" style="79" bestFit="1" customWidth="1"/>
    <col min="5626" max="5877" width="11.42578125" style="79"/>
    <col min="5878" max="5879" width="13.7109375" style="79" customWidth="1"/>
    <col min="5880" max="5880" width="11.42578125" style="79"/>
    <col min="5881" max="5881" width="4.85546875" style="79" bestFit="1" customWidth="1"/>
    <col min="5882" max="6133" width="11.42578125" style="79"/>
    <col min="6134" max="6135" width="13.7109375" style="79" customWidth="1"/>
    <col min="6136" max="6136" width="11.42578125" style="79"/>
    <col min="6137" max="6137" width="4.85546875" style="79" bestFit="1" customWidth="1"/>
    <col min="6138" max="6389" width="11.42578125" style="79"/>
    <col min="6390" max="6391" width="13.7109375" style="79" customWidth="1"/>
    <col min="6392" max="6392" width="11.42578125" style="79"/>
    <col min="6393" max="6393" width="4.85546875" style="79" bestFit="1" customWidth="1"/>
    <col min="6394" max="6645" width="11.42578125" style="79"/>
    <col min="6646" max="6647" width="13.7109375" style="79" customWidth="1"/>
    <col min="6648" max="6648" width="11.42578125" style="79"/>
    <col min="6649" max="6649" width="4.85546875" style="79" bestFit="1" customWidth="1"/>
    <col min="6650" max="6901" width="11.42578125" style="79"/>
    <col min="6902" max="6903" width="13.7109375" style="79" customWidth="1"/>
    <col min="6904" max="6904" width="11.42578125" style="79"/>
    <col min="6905" max="6905" width="4.85546875" style="79" bestFit="1" customWidth="1"/>
    <col min="6906" max="7157" width="11.42578125" style="79"/>
    <col min="7158" max="7159" width="13.7109375" style="79" customWidth="1"/>
    <col min="7160" max="7160" width="11.42578125" style="79"/>
    <col min="7161" max="7161" width="4.85546875" style="79" bestFit="1" customWidth="1"/>
    <col min="7162" max="7413" width="11.42578125" style="79"/>
    <col min="7414" max="7415" width="13.7109375" style="79" customWidth="1"/>
    <col min="7416" max="7416" width="11.42578125" style="79"/>
    <col min="7417" max="7417" width="4.85546875" style="79" bestFit="1" customWidth="1"/>
    <col min="7418" max="7669" width="11.42578125" style="79"/>
    <col min="7670" max="7671" width="13.7109375" style="79" customWidth="1"/>
    <col min="7672" max="7672" width="11.42578125" style="79"/>
    <col min="7673" max="7673" width="4.85546875" style="79" bestFit="1" customWidth="1"/>
    <col min="7674" max="7925" width="11.42578125" style="79"/>
    <col min="7926" max="7927" width="13.7109375" style="79" customWidth="1"/>
    <col min="7928" max="7928" width="11.42578125" style="79"/>
    <col min="7929" max="7929" width="4.85546875" style="79" bestFit="1" customWidth="1"/>
    <col min="7930" max="8181" width="11.42578125" style="79"/>
    <col min="8182" max="8183" width="13.7109375" style="79" customWidth="1"/>
    <col min="8184" max="8184" width="11.42578125" style="79"/>
    <col min="8185" max="8185" width="4.85546875" style="79" bestFit="1" customWidth="1"/>
    <col min="8186" max="8437" width="11.42578125" style="79"/>
    <col min="8438" max="8439" width="13.7109375" style="79" customWidth="1"/>
    <col min="8440" max="8440" width="11.42578125" style="79"/>
    <col min="8441" max="8441" width="4.85546875" style="79" bestFit="1" customWidth="1"/>
    <col min="8442" max="8693" width="11.42578125" style="79"/>
    <col min="8694" max="8695" width="13.7109375" style="79" customWidth="1"/>
    <col min="8696" max="8696" width="11.42578125" style="79"/>
    <col min="8697" max="8697" width="4.85546875" style="79" bestFit="1" customWidth="1"/>
    <col min="8698" max="8949" width="11.42578125" style="79"/>
    <col min="8950" max="8951" width="13.7109375" style="79" customWidth="1"/>
    <col min="8952" max="8952" width="11.42578125" style="79"/>
    <col min="8953" max="8953" width="4.85546875" style="79" bestFit="1" customWidth="1"/>
    <col min="8954" max="9205" width="11.42578125" style="79"/>
    <col min="9206" max="9207" width="13.7109375" style="79" customWidth="1"/>
    <col min="9208" max="9208" width="11.42578125" style="79"/>
    <col min="9209" max="9209" width="4.85546875" style="79" bestFit="1" customWidth="1"/>
    <col min="9210" max="9461" width="11.42578125" style="79"/>
    <col min="9462" max="9463" width="13.7109375" style="79" customWidth="1"/>
    <col min="9464" max="9464" width="11.42578125" style="79"/>
    <col min="9465" max="9465" width="4.85546875" style="79" bestFit="1" customWidth="1"/>
    <col min="9466" max="9717" width="11.42578125" style="79"/>
    <col min="9718" max="9719" width="13.7109375" style="79" customWidth="1"/>
    <col min="9720" max="9720" width="11.42578125" style="79"/>
    <col min="9721" max="9721" width="4.85546875" style="79" bestFit="1" customWidth="1"/>
    <col min="9722" max="9973" width="11.42578125" style="79"/>
    <col min="9974" max="9975" width="13.7109375" style="79" customWidth="1"/>
    <col min="9976" max="9976" width="11.42578125" style="79"/>
    <col min="9977" max="9977" width="4.85546875" style="79" bestFit="1" customWidth="1"/>
    <col min="9978" max="10229" width="11.42578125" style="79"/>
    <col min="10230" max="10231" width="13.7109375" style="79" customWidth="1"/>
    <col min="10232" max="10232" width="11.42578125" style="79"/>
    <col min="10233" max="10233" width="4.85546875" style="79" bestFit="1" customWidth="1"/>
    <col min="10234" max="10485" width="11.42578125" style="79"/>
    <col min="10486" max="10487" width="13.7109375" style="79" customWidth="1"/>
    <col min="10488" max="10488" width="11.42578125" style="79"/>
    <col min="10489" max="10489" width="4.85546875" style="79" bestFit="1" customWidth="1"/>
    <col min="10490" max="10741" width="11.42578125" style="79"/>
    <col min="10742" max="10743" width="13.7109375" style="79" customWidth="1"/>
    <col min="10744" max="10744" width="11.42578125" style="79"/>
    <col min="10745" max="10745" width="4.85546875" style="79" bestFit="1" customWidth="1"/>
    <col min="10746" max="10997" width="11.42578125" style="79"/>
    <col min="10998" max="10999" width="13.7109375" style="79" customWidth="1"/>
    <col min="11000" max="11000" width="11.42578125" style="79"/>
    <col min="11001" max="11001" width="4.85546875" style="79" bestFit="1" customWidth="1"/>
    <col min="11002" max="11253" width="11.42578125" style="79"/>
    <col min="11254" max="11255" width="13.7109375" style="79" customWidth="1"/>
    <col min="11256" max="11256" width="11.42578125" style="79"/>
    <col min="11257" max="11257" width="4.85546875" style="79" bestFit="1" customWidth="1"/>
    <col min="11258" max="11509" width="11.42578125" style="79"/>
    <col min="11510" max="11511" width="13.7109375" style="79" customWidth="1"/>
    <col min="11512" max="11512" width="11.42578125" style="79"/>
    <col min="11513" max="11513" width="4.85546875" style="79" bestFit="1" customWidth="1"/>
    <col min="11514" max="11765" width="11.42578125" style="79"/>
    <col min="11766" max="11767" width="13.7109375" style="79" customWidth="1"/>
    <col min="11768" max="11768" width="11.42578125" style="79"/>
    <col min="11769" max="11769" width="4.85546875" style="79" bestFit="1" customWidth="1"/>
    <col min="11770" max="12021" width="11.42578125" style="79"/>
    <col min="12022" max="12023" width="13.7109375" style="79" customWidth="1"/>
    <col min="12024" max="12024" width="11.42578125" style="79"/>
    <col min="12025" max="12025" width="4.85546875" style="79" bestFit="1" customWidth="1"/>
    <col min="12026" max="12277" width="11.42578125" style="79"/>
    <col min="12278" max="12279" width="13.7109375" style="79" customWidth="1"/>
    <col min="12280" max="12280" width="11.42578125" style="79"/>
    <col min="12281" max="12281" width="4.85546875" style="79" bestFit="1" customWidth="1"/>
    <col min="12282" max="12533" width="11.42578125" style="79"/>
    <col min="12534" max="12535" width="13.7109375" style="79" customWidth="1"/>
    <col min="12536" max="12536" width="11.42578125" style="79"/>
    <col min="12537" max="12537" width="4.85546875" style="79" bestFit="1" customWidth="1"/>
    <col min="12538" max="12789" width="11.42578125" style="79"/>
    <col min="12790" max="12791" width="13.7109375" style="79" customWidth="1"/>
    <col min="12792" max="12792" width="11.42578125" style="79"/>
    <col min="12793" max="12793" width="4.85546875" style="79" bestFit="1" customWidth="1"/>
    <col min="12794" max="13045" width="11.42578125" style="79"/>
    <col min="13046" max="13047" width="13.7109375" style="79" customWidth="1"/>
    <col min="13048" max="13048" width="11.42578125" style="79"/>
    <col min="13049" max="13049" width="4.85546875" style="79" bestFit="1" customWidth="1"/>
    <col min="13050" max="13301" width="11.42578125" style="79"/>
    <col min="13302" max="13303" width="13.7109375" style="79" customWidth="1"/>
    <col min="13304" max="13304" width="11.42578125" style="79"/>
    <col min="13305" max="13305" width="4.85546875" style="79" bestFit="1" customWidth="1"/>
    <col min="13306" max="13557" width="11.42578125" style="79"/>
    <col min="13558" max="13559" width="13.7109375" style="79" customWidth="1"/>
    <col min="13560" max="13560" width="11.42578125" style="79"/>
    <col min="13561" max="13561" width="4.85546875" style="79" bestFit="1" customWidth="1"/>
    <col min="13562" max="13813" width="11.42578125" style="79"/>
    <col min="13814" max="13815" width="13.7109375" style="79" customWidth="1"/>
    <col min="13816" max="13816" width="11.42578125" style="79"/>
    <col min="13817" max="13817" width="4.85546875" style="79" bestFit="1" customWidth="1"/>
    <col min="13818" max="14069" width="11.42578125" style="79"/>
    <col min="14070" max="14071" width="13.7109375" style="79" customWidth="1"/>
    <col min="14072" max="14072" width="11.42578125" style="79"/>
    <col min="14073" max="14073" width="4.85546875" style="79" bestFit="1" customWidth="1"/>
    <col min="14074" max="14325" width="11.42578125" style="79"/>
    <col min="14326" max="14327" width="13.7109375" style="79" customWidth="1"/>
    <col min="14328" max="14328" width="11.42578125" style="79"/>
    <col min="14329" max="14329" width="4.85546875" style="79" bestFit="1" customWidth="1"/>
    <col min="14330" max="14581" width="11.42578125" style="79"/>
    <col min="14582" max="14583" width="13.7109375" style="79" customWidth="1"/>
    <col min="14584" max="14584" width="11.42578125" style="79"/>
    <col min="14585" max="14585" width="4.85546875" style="79" bestFit="1" customWidth="1"/>
    <col min="14586" max="14837" width="11.42578125" style="79"/>
    <col min="14838" max="14839" width="13.7109375" style="79" customWidth="1"/>
    <col min="14840" max="14840" width="11.42578125" style="79"/>
    <col min="14841" max="14841" width="4.85546875" style="79" bestFit="1" customWidth="1"/>
    <col min="14842" max="15093" width="11.42578125" style="79"/>
    <col min="15094" max="15095" width="13.7109375" style="79" customWidth="1"/>
    <col min="15096" max="15096" width="11.42578125" style="79"/>
    <col min="15097" max="15097" width="4.85546875" style="79" bestFit="1" customWidth="1"/>
    <col min="15098" max="15349" width="11.42578125" style="79"/>
    <col min="15350" max="15351" width="13.7109375" style="79" customWidth="1"/>
    <col min="15352" max="15352" width="11.42578125" style="79"/>
    <col min="15353" max="15353" width="4.85546875" style="79" bestFit="1" customWidth="1"/>
    <col min="15354" max="15605" width="11.42578125" style="79"/>
    <col min="15606" max="15607" width="13.7109375" style="79" customWidth="1"/>
    <col min="15608" max="15608" width="11.42578125" style="79"/>
    <col min="15609" max="15609" width="4.85546875" style="79" bestFit="1" customWidth="1"/>
    <col min="15610" max="15861" width="11.42578125" style="79"/>
    <col min="15862" max="15863" width="13.7109375" style="79" customWidth="1"/>
    <col min="15864" max="15864" width="11.42578125" style="79"/>
    <col min="15865" max="15865" width="4.85546875" style="79" bestFit="1" customWidth="1"/>
    <col min="15866" max="16117" width="11.42578125" style="79"/>
    <col min="16118" max="16119" width="13.7109375" style="79" customWidth="1"/>
    <col min="16120" max="16120" width="11.42578125" style="79"/>
    <col min="16121" max="16121" width="4.85546875" style="79" bestFit="1" customWidth="1"/>
    <col min="16122" max="16384" width="11.42578125" style="79"/>
  </cols>
  <sheetData>
    <row r="3" spans="1:8" ht="13.5" thickBot="1" x14ac:dyDescent="0.25"/>
    <row r="4" spans="1:8" x14ac:dyDescent="0.2">
      <c r="A4" s="208" t="s">
        <v>94</v>
      </c>
      <c r="B4" s="210" t="s">
        <v>95</v>
      </c>
      <c r="C4" s="211"/>
      <c r="D4" s="205" t="s">
        <v>96</v>
      </c>
    </row>
    <row r="5" spans="1:8" x14ac:dyDescent="0.2">
      <c r="A5" s="209"/>
      <c r="B5" s="212"/>
      <c r="C5" s="213"/>
      <c r="D5" s="206"/>
    </row>
    <row r="6" spans="1:8" x14ac:dyDescent="0.2">
      <c r="A6" s="81">
        <f ca="1">+RANDBETWEEN(1019008120,1999999999)</f>
        <v>1514883913</v>
      </c>
      <c r="B6" s="82" t="s">
        <v>97</v>
      </c>
      <c r="C6" s="82"/>
      <c r="D6" s="83" t="s">
        <v>98</v>
      </c>
      <c r="F6" s="85"/>
      <c r="G6" s="86"/>
      <c r="H6" s="87"/>
    </row>
    <row r="7" spans="1:8" x14ac:dyDescent="0.2">
      <c r="A7" s="81">
        <f t="shared" ref="A7:A31" ca="1" si="0">+RANDBETWEEN(1019008120,1999999999)</f>
        <v>1581271373</v>
      </c>
      <c r="B7" s="82" t="s">
        <v>52</v>
      </c>
      <c r="C7" s="82"/>
      <c r="D7" s="83" t="s">
        <v>54</v>
      </c>
      <c r="F7" s="85"/>
      <c r="G7" s="86"/>
      <c r="H7" s="87"/>
    </row>
    <row r="8" spans="1:8" x14ac:dyDescent="0.2">
      <c r="A8" s="81">
        <f t="shared" ca="1" si="0"/>
        <v>1803616684</v>
      </c>
      <c r="B8" s="82" t="s">
        <v>99</v>
      </c>
      <c r="C8" s="82"/>
      <c r="D8" s="83" t="s">
        <v>100</v>
      </c>
      <c r="F8" s="85"/>
      <c r="G8" s="86"/>
    </row>
    <row r="9" spans="1:8" x14ac:dyDescent="0.2">
      <c r="A9" s="81">
        <f t="shared" ca="1" si="0"/>
        <v>1253513396</v>
      </c>
      <c r="B9" s="82" t="s">
        <v>101</v>
      </c>
      <c r="C9" s="82"/>
      <c r="D9" s="83" t="s">
        <v>102</v>
      </c>
      <c r="E9" s="85"/>
      <c r="F9" s="85"/>
      <c r="G9" s="86"/>
    </row>
    <row r="10" spans="1:8" x14ac:dyDescent="0.2">
      <c r="A10" s="81">
        <f t="shared" ca="1" si="0"/>
        <v>1736091373</v>
      </c>
      <c r="B10" s="82" t="s">
        <v>103</v>
      </c>
      <c r="C10" s="82"/>
      <c r="D10" s="83" t="s">
        <v>15</v>
      </c>
      <c r="E10" s="85"/>
      <c r="F10" s="85"/>
      <c r="G10" s="86"/>
    </row>
    <row r="11" spans="1:8" x14ac:dyDescent="0.2">
      <c r="A11" s="81">
        <f t="shared" ca="1" si="0"/>
        <v>1125992782</v>
      </c>
      <c r="B11" s="82" t="s">
        <v>104</v>
      </c>
      <c r="C11" s="82"/>
      <c r="D11" s="83" t="s">
        <v>105</v>
      </c>
      <c r="F11" s="85"/>
      <c r="G11" s="86"/>
    </row>
    <row r="12" spans="1:8" x14ac:dyDescent="0.2">
      <c r="A12" s="81">
        <f t="shared" ca="1" si="0"/>
        <v>1187479205</v>
      </c>
      <c r="B12" s="82" t="s">
        <v>106</v>
      </c>
      <c r="C12" s="82"/>
      <c r="D12" s="83" t="s">
        <v>105</v>
      </c>
      <c r="E12" s="85"/>
      <c r="F12" s="85"/>
      <c r="G12" s="86"/>
    </row>
    <row r="13" spans="1:8" x14ac:dyDescent="0.2">
      <c r="A13" s="81">
        <f t="shared" ca="1" si="0"/>
        <v>1333866696</v>
      </c>
      <c r="B13" s="207" t="s">
        <v>107</v>
      </c>
      <c r="C13" s="207"/>
      <c r="D13" s="83" t="s">
        <v>108</v>
      </c>
      <c r="E13" s="84"/>
      <c r="F13" s="85"/>
      <c r="G13" s="86"/>
    </row>
    <row r="14" spans="1:8" x14ac:dyDescent="0.2">
      <c r="A14" s="81">
        <f t="shared" ca="1" si="0"/>
        <v>1785138444</v>
      </c>
      <c r="B14" s="207" t="s">
        <v>109</v>
      </c>
      <c r="C14" s="207"/>
      <c r="D14" s="83" t="s">
        <v>110</v>
      </c>
      <c r="F14" s="85"/>
      <c r="G14" s="86"/>
    </row>
    <row r="15" spans="1:8" x14ac:dyDescent="0.2">
      <c r="A15" s="81">
        <f t="shared" ca="1" si="0"/>
        <v>1133425113</v>
      </c>
      <c r="B15" s="207" t="s">
        <v>111</v>
      </c>
      <c r="C15" s="207"/>
      <c r="D15" s="83" t="s">
        <v>112</v>
      </c>
      <c r="F15" s="85"/>
      <c r="G15" s="86"/>
    </row>
    <row r="16" spans="1:8" x14ac:dyDescent="0.2">
      <c r="A16" s="81">
        <f t="shared" ca="1" si="0"/>
        <v>1820762956</v>
      </c>
      <c r="B16" s="207" t="s">
        <v>113</v>
      </c>
      <c r="C16" s="207"/>
      <c r="D16" s="83" t="s">
        <v>114</v>
      </c>
      <c r="F16" s="85"/>
      <c r="G16" s="86"/>
    </row>
    <row r="17" spans="1:7" x14ac:dyDescent="0.2">
      <c r="A17" s="81">
        <f t="shared" ca="1" si="0"/>
        <v>1428626512</v>
      </c>
      <c r="B17" s="215" t="s">
        <v>115</v>
      </c>
      <c r="C17" s="216"/>
      <c r="D17" s="82" t="s">
        <v>116</v>
      </c>
      <c r="E17" s="85"/>
      <c r="F17" s="85"/>
      <c r="G17" s="86"/>
    </row>
    <row r="18" spans="1:7" x14ac:dyDescent="0.2">
      <c r="A18" s="81">
        <f t="shared" ca="1" si="0"/>
        <v>1848732387</v>
      </c>
      <c r="B18" s="207" t="s">
        <v>117</v>
      </c>
      <c r="C18" s="207"/>
      <c r="D18" s="82" t="s">
        <v>116</v>
      </c>
      <c r="F18" s="85"/>
      <c r="G18" s="86"/>
    </row>
    <row r="19" spans="1:7" x14ac:dyDescent="0.2">
      <c r="A19" s="81">
        <f t="shared" ca="1" si="0"/>
        <v>1799201929</v>
      </c>
      <c r="B19" s="207" t="s">
        <v>118</v>
      </c>
      <c r="C19" s="207"/>
      <c r="D19" s="82" t="s">
        <v>119</v>
      </c>
      <c r="E19" s="85"/>
      <c r="F19" s="85"/>
      <c r="G19" s="86"/>
    </row>
    <row r="20" spans="1:7" x14ac:dyDescent="0.2">
      <c r="A20" s="81">
        <f t="shared" ca="1" si="0"/>
        <v>1192697182</v>
      </c>
      <c r="B20" s="215" t="s">
        <v>120</v>
      </c>
      <c r="C20" s="216"/>
      <c r="D20" s="82" t="s">
        <v>119</v>
      </c>
      <c r="F20" s="85"/>
      <c r="G20" s="86"/>
    </row>
    <row r="21" spans="1:7" x14ac:dyDescent="0.2">
      <c r="A21" s="81">
        <f t="shared" ca="1" si="0"/>
        <v>1340323262</v>
      </c>
      <c r="B21" s="207" t="s">
        <v>121</v>
      </c>
      <c r="C21" s="207"/>
      <c r="D21" s="82" t="s">
        <v>122</v>
      </c>
      <c r="F21" s="85"/>
      <c r="G21" s="86"/>
    </row>
    <row r="22" spans="1:7" x14ac:dyDescent="0.2">
      <c r="A22" s="81">
        <f t="shared" ca="1" si="0"/>
        <v>1385586683</v>
      </c>
      <c r="B22" s="207" t="s">
        <v>123</v>
      </c>
      <c r="C22" s="207"/>
      <c r="D22" s="82" t="s">
        <v>122</v>
      </c>
      <c r="F22" s="85"/>
      <c r="G22" s="86"/>
    </row>
    <row r="23" spans="1:7" x14ac:dyDescent="0.2">
      <c r="A23" s="81">
        <f t="shared" ca="1" si="0"/>
        <v>1816905130</v>
      </c>
      <c r="B23" s="215" t="s">
        <v>124</v>
      </c>
      <c r="C23" s="216"/>
      <c r="D23" s="82" t="s">
        <v>125</v>
      </c>
      <c r="F23" s="85"/>
      <c r="G23" s="86"/>
    </row>
    <row r="24" spans="1:7" x14ac:dyDescent="0.2">
      <c r="A24" s="81">
        <f t="shared" ca="1" si="0"/>
        <v>1792202052</v>
      </c>
      <c r="B24" s="207" t="s">
        <v>126</v>
      </c>
      <c r="C24" s="207"/>
      <c r="D24" s="82" t="s">
        <v>127</v>
      </c>
      <c r="F24" s="85"/>
      <c r="G24" s="86"/>
    </row>
    <row r="25" spans="1:7" x14ac:dyDescent="0.2">
      <c r="A25" s="81">
        <f t="shared" ca="1" si="0"/>
        <v>1672404259</v>
      </c>
      <c r="B25" s="215" t="s">
        <v>128</v>
      </c>
      <c r="C25" s="216"/>
      <c r="D25" s="82" t="s">
        <v>127</v>
      </c>
      <c r="F25" s="85"/>
      <c r="G25" s="86"/>
    </row>
    <row r="26" spans="1:7" x14ac:dyDescent="0.2">
      <c r="A26" s="81">
        <f t="shared" ca="1" si="0"/>
        <v>1282828058</v>
      </c>
      <c r="B26" s="83" t="s">
        <v>106</v>
      </c>
      <c r="C26" s="83"/>
      <c r="D26" s="83" t="s">
        <v>105</v>
      </c>
      <c r="F26" s="85"/>
      <c r="G26" s="86"/>
    </row>
    <row r="27" spans="1:7" x14ac:dyDescent="0.2">
      <c r="A27" s="81">
        <f t="shared" ca="1" si="0"/>
        <v>1113382796</v>
      </c>
      <c r="B27" s="217" t="s">
        <v>129</v>
      </c>
      <c r="C27" s="218"/>
      <c r="D27" s="83" t="s">
        <v>130</v>
      </c>
      <c r="F27" s="85"/>
      <c r="G27" s="86"/>
    </row>
    <row r="28" spans="1:7" x14ac:dyDescent="0.2">
      <c r="A28" s="81">
        <f t="shared" ca="1" si="0"/>
        <v>1370368771</v>
      </c>
      <c r="B28" s="217" t="s">
        <v>131</v>
      </c>
      <c r="C28" s="218"/>
      <c r="D28" s="83" t="s">
        <v>132</v>
      </c>
      <c r="F28" s="85"/>
      <c r="G28" s="86"/>
    </row>
    <row r="29" spans="1:7" x14ac:dyDescent="0.2">
      <c r="A29" s="81">
        <f t="shared" ca="1" si="0"/>
        <v>1044623172</v>
      </c>
      <c r="B29" s="214" t="s">
        <v>133</v>
      </c>
      <c r="C29" s="214"/>
      <c r="D29" s="83" t="s">
        <v>134</v>
      </c>
      <c r="F29" s="85"/>
      <c r="G29" s="86"/>
    </row>
    <row r="30" spans="1:7" x14ac:dyDescent="0.2">
      <c r="A30" s="81">
        <f t="shared" ca="1" si="0"/>
        <v>1684122590</v>
      </c>
      <c r="B30" s="217" t="s">
        <v>135</v>
      </c>
      <c r="C30" s="218"/>
      <c r="D30" s="83" t="s">
        <v>136</v>
      </c>
      <c r="F30" s="85"/>
      <c r="G30" s="86"/>
    </row>
    <row r="31" spans="1:7" x14ac:dyDescent="0.2">
      <c r="A31" s="81">
        <f t="shared" ca="1" si="0"/>
        <v>1099168164</v>
      </c>
      <c r="B31" s="217" t="s">
        <v>137</v>
      </c>
      <c r="C31" s="218"/>
      <c r="D31" s="83" t="s">
        <v>136</v>
      </c>
      <c r="F31" s="85"/>
      <c r="G31" s="86"/>
    </row>
    <row r="32" spans="1:7" x14ac:dyDescent="0.2">
      <c r="A32" s="88"/>
      <c r="B32" s="219"/>
      <c r="C32" s="220"/>
      <c r="D32" s="89"/>
      <c r="F32" s="85"/>
      <c r="G32" s="86"/>
    </row>
    <row r="33" spans="1:7" x14ac:dyDescent="0.2">
      <c r="A33" s="88"/>
      <c r="B33" s="219"/>
      <c r="C33" s="220"/>
      <c r="D33" s="89"/>
      <c r="F33" s="85"/>
      <c r="G33" s="86"/>
    </row>
    <row r="34" spans="1:7" ht="15" customHeight="1" thickBot="1" x14ac:dyDescent="0.25">
      <c r="A34" s="221"/>
      <c r="B34" s="222"/>
      <c r="C34" s="222"/>
      <c r="D34" s="222"/>
    </row>
    <row r="35" spans="1:7" x14ac:dyDescent="0.2">
      <c r="A35" s="90"/>
      <c r="B35" s="91"/>
      <c r="C35" s="91"/>
      <c r="D35" s="91"/>
    </row>
    <row r="36" spans="1:7" x14ac:dyDescent="0.2">
      <c r="A36" s="92" t="s">
        <v>138</v>
      </c>
      <c r="B36" s="80"/>
      <c r="C36" s="80"/>
      <c r="D36" s="80"/>
      <c r="G36" s="93"/>
    </row>
    <row r="37" spans="1:7" x14ac:dyDescent="0.2">
      <c r="A37" s="94"/>
      <c r="E37" s="96"/>
      <c r="G37" s="96"/>
    </row>
    <row r="38" spans="1:7" ht="12.75" customHeight="1" x14ac:dyDescent="0.2">
      <c r="A38" s="94"/>
      <c r="E38" s="96"/>
    </row>
    <row r="39" spans="1:7" ht="12.75" customHeight="1" x14ac:dyDescent="0.2">
      <c r="A39" s="94"/>
      <c r="E39" s="96"/>
    </row>
    <row r="40" spans="1:7" ht="12.75" customHeight="1" x14ac:dyDescent="0.2">
      <c r="A40" s="94"/>
      <c r="E40" s="96"/>
    </row>
    <row r="41" spans="1:7" ht="12.75" customHeight="1" x14ac:dyDescent="0.2">
      <c r="A41" s="94"/>
      <c r="E41" s="96"/>
    </row>
    <row r="42" spans="1:7" x14ac:dyDescent="0.2">
      <c r="A42" s="97" t="s">
        <v>139</v>
      </c>
      <c r="B42" s="98"/>
      <c r="C42" s="99" t="s">
        <v>140</v>
      </c>
      <c r="D42" s="99"/>
      <c r="E42" s="96"/>
    </row>
    <row r="43" spans="1:7" x14ac:dyDescent="0.2">
      <c r="A43" s="100"/>
      <c r="B43" s="95"/>
      <c r="C43" s="101"/>
      <c r="D43" s="102"/>
      <c r="E43" s="96"/>
    </row>
    <row r="44" spans="1:7" x14ac:dyDescent="0.2">
      <c r="A44" s="94"/>
      <c r="B44" s="95"/>
      <c r="C44" s="101"/>
      <c r="D44" s="102"/>
      <c r="E44" s="96"/>
    </row>
    <row r="45" spans="1:7" x14ac:dyDescent="0.2">
      <c r="A45" s="94"/>
      <c r="B45" s="95"/>
      <c r="C45" s="101"/>
      <c r="D45" s="102"/>
      <c r="E45" s="93"/>
    </row>
    <row r="46" spans="1:7" x14ac:dyDescent="0.2">
      <c r="A46" s="103"/>
      <c r="B46" s="104"/>
      <c r="C46" s="105"/>
      <c r="D46" s="106"/>
    </row>
  </sheetData>
  <mergeCells count="24">
    <mergeCell ref="B30:C30"/>
    <mergeCell ref="B31:C31"/>
    <mergeCell ref="B32:C32"/>
    <mergeCell ref="B33:C33"/>
    <mergeCell ref="A34:D34"/>
    <mergeCell ref="A4:A5"/>
    <mergeCell ref="B4:C5"/>
    <mergeCell ref="B29:C29"/>
    <mergeCell ref="B17:C17"/>
    <mergeCell ref="B18:C18"/>
    <mergeCell ref="B19:C19"/>
    <mergeCell ref="B20:C20"/>
    <mergeCell ref="B21:C21"/>
    <mergeCell ref="B22:C22"/>
    <mergeCell ref="B23:C23"/>
    <mergeCell ref="B24:C24"/>
    <mergeCell ref="B25:C25"/>
    <mergeCell ref="B27:C27"/>
    <mergeCell ref="B28:C28"/>
    <mergeCell ref="D4:D5"/>
    <mergeCell ref="B13:C13"/>
    <mergeCell ref="B14:C14"/>
    <mergeCell ref="B15:C15"/>
    <mergeCell ref="B16:C16"/>
  </mergeCells>
  <printOptions horizontalCentered="1" verticalCentered="1"/>
  <pageMargins left="0.19685039370078741" right="0.19685039370078741" top="0.98425196850393704" bottom="0.98425196850393704" header="0" footer="0"/>
  <pageSetup scale="75" orientation="landscape" verticalDpi="18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D1:U29"/>
  <sheetViews>
    <sheetView zoomScale="50" zoomScaleNormal="50" workbookViewId="0">
      <selection activeCell="D12" sqref="D12:D13"/>
    </sheetView>
  </sheetViews>
  <sheetFormatPr defaultColWidth="10.7109375" defaultRowHeight="15" x14ac:dyDescent="0.25"/>
  <cols>
    <col min="4" max="4" width="19.140625" customWidth="1"/>
    <col min="5" max="5" width="19" customWidth="1"/>
    <col min="6" max="6" width="7.42578125" customWidth="1"/>
    <col min="7" max="7" width="26.28515625" customWidth="1"/>
    <col min="8" max="8" width="28.140625" style="124" customWidth="1"/>
    <col min="9" max="9" width="13.42578125" customWidth="1"/>
    <col min="10" max="10" width="4.7109375" customWidth="1"/>
    <col min="11" max="11" width="13.7109375" bestFit="1" customWidth="1"/>
    <col min="12" max="12" width="4.140625" bestFit="1" customWidth="1"/>
    <col min="13" max="13" width="27.7109375" customWidth="1"/>
    <col min="14" max="14" width="19.28515625" customWidth="1"/>
    <col min="15" max="15" width="15.7109375" customWidth="1"/>
    <col min="16" max="16" width="21.140625" customWidth="1"/>
    <col min="17" max="17" width="4.5703125" customWidth="1"/>
    <col min="18" max="18" width="17.5703125" customWidth="1"/>
    <col min="19" max="19" width="5.28515625" customWidth="1"/>
    <col min="20" max="20" width="24.85546875" customWidth="1"/>
  </cols>
  <sheetData>
    <row r="1" spans="4:21" ht="15.75" thickBot="1" x14ac:dyDescent="0.3">
      <c r="H1" s="225" t="s">
        <v>142</v>
      </c>
      <c r="I1" s="226"/>
      <c r="J1" s="227"/>
    </row>
    <row r="2" spans="4:21" ht="15.75" thickBot="1" x14ac:dyDescent="0.3">
      <c r="E2" s="228" t="s">
        <v>143</v>
      </c>
      <c r="F2" s="229"/>
      <c r="H2" s="114" t="s">
        <v>144</v>
      </c>
      <c r="I2" s="115" t="s">
        <v>145</v>
      </c>
      <c r="J2" s="116" t="s">
        <v>146</v>
      </c>
    </row>
    <row r="3" spans="4:21" x14ac:dyDescent="0.25">
      <c r="E3" s="117">
        <v>1</v>
      </c>
      <c r="F3" s="118" t="s">
        <v>147</v>
      </c>
      <c r="H3" s="119" t="s">
        <v>148</v>
      </c>
      <c r="I3" s="71" t="s">
        <v>149</v>
      </c>
      <c r="J3" s="72" t="s">
        <v>150</v>
      </c>
    </row>
    <row r="4" spans="4:21" x14ac:dyDescent="0.25">
      <c r="E4" s="120">
        <v>2</v>
      </c>
      <c r="F4" s="7" t="s">
        <v>151</v>
      </c>
      <c r="H4" s="120" t="s">
        <v>152</v>
      </c>
      <c r="I4" s="71" t="s">
        <v>153</v>
      </c>
      <c r="J4" s="72" t="s">
        <v>154</v>
      </c>
    </row>
    <row r="5" spans="4:21" x14ac:dyDescent="0.25">
      <c r="E5" s="121">
        <v>3</v>
      </c>
      <c r="F5" s="7" t="s">
        <v>155</v>
      </c>
      <c r="H5" s="121" t="s">
        <v>156</v>
      </c>
      <c r="I5" s="71" t="s">
        <v>157</v>
      </c>
      <c r="J5" s="72" t="s">
        <v>158</v>
      </c>
    </row>
    <row r="6" spans="4:21" x14ac:dyDescent="0.25">
      <c r="E6" s="122">
        <v>4</v>
      </c>
      <c r="F6" s="7" t="s">
        <v>159</v>
      </c>
      <c r="H6" s="122" t="s">
        <v>160</v>
      </c>
      <c r="I6" s="71" t="s">
        <v>161</v>
      </c>
      <c r="J6" s="72" t="s">
        <v>162</v>
      </c>
    </row>
    <row r="7" spans="4:21" ht="15.75" thickBot="1" x14ac:dyDescent="0.3">
      <c r="E7" s="123">
        <v>5</v>
      </c>
      <c r="F7" s="10" t="s">
        <v>163</v>
      </c>
      <c r="H7" s="123" t="s">
        <v>164</v>
      </c>
      <c r="I7" s="73" t="s">
        <v>165</v>
      </c>
      <c r="J7" s="74" t="s">
        <v>166</v>
      </c>
    </row>
    <row r="8" spans="4:21" ht="15.75" thickBot="1" x14ac:dyDescent="0.3"/>
    <row r="9" spans="4:21" x14ac:dyDescent="0.25">
      <c r="D9" s="153" t="s">
        <v>265</v>
      </c>
      <c r="E9" s="154" t="s">
        <v>167</v>
      </c>
      <c r="F9" s="154" t="s">
        <v>266</v>
      </c>
      <c r="G9" s="154" t="s">
        <v>168</v>
      </c>
      <c r="H9" s="155" t="s">
        <v>169</v>
      </c>
      <c r="I9" s="230" t="s">
        <v>143</v>
      </c>
      <c r="J9" s="230"/>
      <c r="K9" s="230" t="s">
        <v>170</v>
      </c>
      <c r="L9" s="231"/>
      <c r="M9" s="156" t="s">
        <v>171</v>
      </c>
      <c r="N9" s="157" t="s">
        <v>267</v>
      </c>
      <c r="O9" s="157" t="s">
        <v>268</v>
      </c>
      <c r="P9" s="223" t="s">
        <v>172</v>
      </c>
      <c r="Q9" s="223"/>
      <c r="R9" s="223" t="s">
        <v>173</v>
      </c>
      <c r="S9" s="224"/>
      <c r="T9" s="158" t="s">
        <v>174</v>
      </c>
    </row>
    <row r="10" spans="4:21" ht="138.75" hidden="1" customHeight="1" x14ac:dyDescent="0.3">
      <c r="D10" s="196" t="s">
        <v>175</v>
      </c>
      <c r="E10" s="125" t="s">
        <v>176</v>
      </c>
      <c r="F10" s="75">
        <v>1</v>
      </c>
      <c r="G10" s="2" t="s">
        <v>177</v>
      </c>
      <c r="H10" s="2" t="s">
        <v>178</v>
      </c>
      <c r="I10" s="126" t="s">
        <v>155</v>
      </c>
      <c r="J10" s="134">
        <v>2</v>
      </c>
      <c r="K10" s="126" t="s">
        <v>179</v>
      </c>
      <c r="L10" s="128">
        <v>20</v>
      </c>
      <c r="M10" s="159" t="s">
        <v>180</v>
      </c>
      <c r="N10" s="160"/>
      <c r="O10" s="160" t="s">
        <v>269</v>
      </c>
      <c r="P10" s="161" t="s">
        <v>147</v>
      </c>
      <c r="Q10" s="130">
        <v>2</v>
      </c>
      <c r="R10" s="129" t="s">
        <v>181</v>
      </c>
      <c r="S10" s="162">
        <v>5</v>
      </c>
      <c r="T10" s="163" t="s">
        <v>182</v>
      </c>
      <c r="U10" s="164"/>
    </row>
    <row r="11" spans="4:21" ht="108.75" customHeight="1" x14ac:dyDescent="0.3">
      <c r="D11" s="196"/>
      <c r="E11" s="125" t="s">
        <v>183</v>
      </c>
      <c r="F11" s="75">
        <v>2</v>
      </c>
      <c r="G11" s="2" t="s">
        <v>184</v>
      </c>
      <c r="H11" s="2" t="s">
        <v>185</v>
      </c>
      <c r="I11" s="126" t="s">
        <v>155</v>
      </c>
      <c r="J11" s="127">
        <v>3</v>
      </c>
      <c r="K11" s="126" t="s">
        <v>186</v>
      </c>
      <c r="L11" s="132">
        <v>19</v>
      </c>
      <c r="M11" s="159" t="s">
        <v>187</v>
      </c>
      <c r="N11" s="160" t="s">
        <v>269</v>
      </c>
      <c r="O11" s="160"/>
      <c r="P11" s="161" t="s">
        <v>147</v>
      </c>
      <c r="Q11" s="130">
        <v>1</v>
      </c>
      <c r="R11" s="129" t="s">
        <v>181</v>
      </c>
      <c r="S11" s="162">
        <v>10</v>
      </c>
      <c r="T11" s="163" t="s">
        <v>188</v>
      </c>
      <c r="U11" s="164"/>
    </row>
    <row r="12" spans="4:21" ht="108.75" customHeight="1" x14ac:dyDescent="0.25">
      <c r="D12" s="196" t="s">
        <v>189</v>
      </c>
      <c r="E12" s="125" t="s">
        <v>270</v>
      </c>
      <c r="F12" s="75">
        <v>3</v>
      </c>
      <c r="G12" s="2" t="s">
        <v>190</v>
      </c>
      <c r="H12" s="2" t="s">
        <v>191</v>
      </c>
      <c r="I12" s="133" t="s">
        <v>151</v>
      </c>
      <c r="J12" s="134">
        <v>2</v>
      </c>
      <c r="K12" s="126" t="s">
        <v>179</v>
      </c>
      <c r="L12" s="128">
        <v>23</v>
      </c>
      <c r="M12" s="159" t="s">
        <v>192</v>
      </c>
      <c r="N12" s="160" t="s">
        <v>269</v>
      </c>
      <c r="O12" s="160"/>
      <c r="P12" s="161" t="s">
        <v>147</v>
      </c>
      <c r="Q12" s="130">
        <v>1</v>
      </c>
      <c r="R12" s="129" t="s">
        <v>163</v>
      </c>
      <c r="S12" s="165">
        <v>17</v>
      </c>
      <c r="T12" s="166" t="s">
        <v>193</v>
      </c>
    </row>
    <row r="13" spans="4:21" ht="158.25" customHeight="1" x14ac:dyDescent="0.25">
      <c r="D13" s="196"/>
      <c r="E13" s="125" t="s">
        <v>175</v>
      </c>
      <c r="F13" s="75">
        <v>4</v>
      </c>
      <c r="G13" s="2" t="s">
        <v>194</v>
      </c>
      <c r="H13" s="2" t="s">
        <v>195</v>
      </c>
      <c r="I13" s="133" t="s">
        <v>151</v>
      </c>
      <c r="J13" s="134">
        <v>2</v>
      </c>
      <c r="K13" s="126" t="s">
        <v>186</v>
      </c>
      <c r="L13" s="132">
        <v>17</v>
      </c>
      <c r="M13" s="159" t="s">
        <v>196</v>
      </c>
      <c r="N13" s="160" t="s">
        <v>269</v>
      </c>
      <c r="O13" s="160"/>
      <c r="P13" s="161" t="s">
        <v>147</v>
      </c>
      <c r="Q13" s="130">
        <v>1</v>
      </c>
      <c r="R13" s="129" t="s">
        <v>181</v>
      </c>
      <c r="S13" s="162">
        <v>7</v>
      </c>
      <c r="T13" s="166" t="s">
        <v>197</v>
      </c>
    </row>
    <row r="14" spans="4:21" ht="142.5" hidden="1" customHeight="1" x14ac:dyDescent="0.25">
      <c r="D14" s="196" t="s">
        <v>198</v>
      </c>
      <c r="E14" s="125" t="s">
        <v>271</v>
      </c>
      <c r="F14" s="75">
        <v>5</v>
      </c>
      <c r="G14" s="2" t="s">
        <v>199</v>
      </c>
      <c r="H14" s="2" t="s">
        <v>200</v>
      </c>
      <c r="I14" s="133" t="s">
        <v>201</v>
      </c>
      <c r="J14" s="135">
        <v>1</v>
      </c>
      <c r="K14" s="126" t="s">
        <v>179</v>
      </c>
      <c r="L14" s="128">
        <v>20</v>
      </c>
      <c r="M14" s="159" t="s">
        <v>202</v>
      </c>
      <c r="N14" s="160"/>
      <c r="O14" s="160" t="s">
        <v>269</v>
      </c>
      <c r="P14" s="161" t="s">
        <v>147</v>
      </c>
      <c r="Q14" s="130">
        <v>1</v>
      </c>
      <c r="R14" s="129" t="s">
        <v>163</v>
      </c>
      <c r="S14" s="165">
        <v>15</v>
      </c>
      <c r="T14" s="166" t="s">
        <v>203</v>
      </c>
    </row>
    <row r="15" spans="4:21" ht="115.5" customHeight="1" x14ac:dyDescent="0.25">
      <c r="D15" s="196"/>
      <c r="E15" s="125" t="s">
        <v>272</v>
      </c>
      <c r="F15" s="75">
        <v>6</v>
      </c>
      <c r="G15" s="2" t="s">
        <v>204</v>
      </c>
      <c r="H15" s="2" t="s">
        <v>205</v>
      </c>
      <c r="I15" s="133" t="s">
        <v>201</v>
      </c>
      <c r="J15" s="135">
        <v>1</v>
      </c>
      <c r="K15" s="126" t="s">
        <v>181</v>
      </c>
      <c r="L15" s="136">
        <v>5</v>
      </c>
      <c r="M15" s="159" t="s">
        <v>273</v>
      </c>
      <c r="N15" s="160" t="s">
        <v>269</v>
      </c>
      <c r="O15" s="160"/>
      <c r="P15" s="161" t="s">
        <v>147</v>
      </c>
      <c r="Q15" s="130">
        <v>1</v>
      </c>
      <c r="R15" s="129" t="s">
        <v>151</v>
      </c>
      <c r="S15" s="167">
        <v>3</v>
      </c>
      <c r="T15" s="166" t="s">
        <v>206</v>
      </c>
    </row>
    <row r="16" spans="4:21" ht="164.25" customHeight="1" x14ac:dyDescent="0.25">
      <c r="D16" s="197" t="s">
        <v>207</v>
      </c>
      <c r="E16" s="125" t="s">
        <v>274</v>
      </c>
      <c r="F16" s="75">
        <v>7</v>
      </c>
      <c r="G16" s="2" t="s">
        <v>208</v>
      </c>
      <c r="H16" s="2" t="s">
        <v>209</v>
      </c>
      <c r="I16" s="133" t="s">
        <v>201</v>
      </c>
      <c r="J16" s="135">
        <v>1</v>
      </c>
      <c r="K16" s="126" t="s">
        <v>179</v>
      </c>
      <c r="L16" s="128">
        <v>25</v>
      </c>
      <c r="M16" s="159" t="s">
        <v>210</v>
      </c>
      <c r="N16" s="160" t="s">
        <v>269</v>
      </c>
      <c r="O16" s="160"/>
      <c r="P16" s="161" t="s">
        <v>147</v>
      </c>
      <c r="Q16" s="130">
        <v>1</v>
      </c>
      <c r="R16" s="129" t="s">
        <v>163</v>
      </c>
      <c r="S16" s="165">
        <v>15</v>
      </c>
      <c r="T16" s="166" t="s">
        <v>211</v>
      </c>
    </row>
    <row r="17" spans="4:20" ht="164.25" hidden="1" customHeight="1" x14ac:dyDescent="0.25">
      <c r="D17" s="197"/>
      <c r="E17" s="125" t="s">
        <v>275</v>
      </c>
      <c r="F17" s="75">
        <v>8</v>
      </c>
      <c r="G17" s="2" t="s">
        <v>212</v>
      </c>
      <c r="H17" s="2" t="s">
        <v>213</v>
      </c>
      <c r="I17" s="133" t="s">
        <v>151</v>
      </c>
      <c r="J17" s="135">
        <v>1</v>
      </c>
      <c r="K17" s="126" t="s">
        <v>179</v>
      </c>
      <c r="L17" s="128">
        <v>21</v>
      </c>
      <c r="M17" s="159" t="s">
        <v>214</v>
      </c>
      <c r="N17" s="160"/>
      <c r="O17" s="160" t="s">
        <v>269</v>
      </c>
      <c r="P17" s="161" t="s">
        <v>147</v>
      </c>
      <c r="Q17" s="130">
        <v>1</v>
      </c>
      <c r="R17" s="129" t="s">
        <v>181</v>
      </c>
      <c r="S17" s="162">
        <v>10</v>
      </c>
      <c r="T17" s="166" t="s">
        <v>215</v>
      </c>
    </row>
    <row r="18" spans="4:20" ht="144" customHeight="1" x14ac:dyDescent="0.25">
      <c r="D18" s="232" t="s">
        <v>216</v>
      </c>
      <c r="E18" s="138" t="s">
        <v>217</v>
      </c>
      <c r="F18" s="75">
        <v>9</v>
      </c>
      <c r="G18" s="168" t="s">
        <v>218</v>
      </c>
      <c r="H18" s="2" t="s">
        <v>219</v>
      </c>
      <c r="I18" s="126" t="s">
        <v>155</v>
      </c>
      <c r="J18" s="127">
        <v>3</v>
      </c>
      <c r="K18" s="126" t="s">
        <v>181</v>
      </c>
      <c r="L18" s="136">
        <v>10</v>
      </c>
      <c r="M18" s="159" t="s">
        <v>220</v>
      </c>
      <c r="N18" s="160" t="s">
        <v>269</v>
      </c>
      <c r="O18" s="160"/>
      <c r="P18" s="161" t="s">
        <v>151</v>
      </c>
      <c r="Q18" s="137">
        <v>2</v>
      </c>
      <c r="R18" s="129" t="s">
        <v>151</v>
      </c>
      <c r="S18" s="167">
        <v>4</v>
      </c>
      <c r="T18" s="166" t="s">
        <v>221</v>
      </c>
    </row>
    <row r="19" spans="4:20" ht="122.25" hidden="1" customHeight="1" x14ac:dyDescent="0.25">
      <c r="D19" s="232"/>
      <c r="E19" s="138" t="s">
        <v>217</v>
      </c>
      <c r="F19" s="75">
        <v>10</v>
      </c>
      <c r="G19" s="169" t="s">
        <v>222</v>
      </c>
      <c r="H19" s="2" t="s">
        <v>223</v>
      </c>
      <c r="I19" s="126" t="s">
        <v>155</v>
      </c>
      <c r="J19" s="127">
        <v>3</v>
      </c>
      <c r="K19" s="126" t="s">
        <v>181</v>
      </c>
      <c r="L19" s="136">
        <v>10</v>
      </c>
      <c r="M19" s="159" t="s">
        <v>224</v>
      </c>
      <c r="N19" s="160"/>
      <c r="O19" s="160" t="s">
        <v>269</v>
      </c>
      <c r="P19" s="161" t="s">
        <v>151</v>
      </c>
      <c r="Q19" s="137">
        <v>2</v>
      </c>
      <c r="R19" s="126" t="s">
        <v>181</v>
      </c>
      <c r="S19" s="170">
        <v>10</v>
      </c>
      <c r="T19" s="166" t="s">
        <v>225</v>
      </c>
    </row>
    <row r="20" spans="4:20" ht="112.5" hidden="1" customHeight="1" x14ac:dyDescent="0.25">
      <c r="D20" s="232" t="s">
        <v>226</v>
      </c>
      <c r="E20" s="138" t="s">
        <v>270</v>
      </c>
      <c r="F20" s="75">
        <v>11</v>
      </c>
      <c r="G20" s="168" t="s">
        <v>227</v>
      </c>
      <c r="H20" s="2" t="s">
        <v>228</v>
      </c>
      <c r="I20" s="133" t="s">
        <v>151</v>
      </c>
      <c r="J20" s="134">
        <v>2</v>
      </c>
      <c r="K20" s="126" t="s">
        <v>186</v>
      </c>
      <c r="L20" s="132">
        <v>17</v>
      </c>
      <c r="M20" s="159" t="s">
        <v>229</v>
      </c>
      <c r="N20" s="160"/>
      <c r="O20" s="160" t="s">
        <v>269</v>
      </c>
      <c r="P20" s="161" t="s">
        <v>147</v>
      </c>
      <c r="Q20" s="130">
        <v>1</v>
      </c>
      <c r="R20" s="129" t="s">
        <v>163</v>
      </c>
      <c r="S20" s="165">
        <v>14</v>
      </c>
      <c r="T20" s="166" t="s">
        <v>230</v>
      </c>
    </row>
    <row r="21" spans="4:20" ht="93.75" hidden="1" customHeight="1" x14ac:dyDescent="0.25">
      <c r="D21" s="232"/>
      <c r="E21" s="138" t="s">
        <v>217</v>
      </c>
      <c r="F21" s="75">
        <v>12</v>
      </c>
      <c r="G21" s="168" t="s">
        <v>231</v>
      </c>
      <c r="H21" s="2" t="s">
        <v>232</v>
      </c>
      <c r="I21" s="133" t="s">
        <v>151</v>
      </c>
      <c r="J21" s="134">
        <v>2</v>
      </c>
      <c r="K21" s="126" t="s">
        <v>186</v>
      </c>
      <c r="L21" s="132">
        <v>17</v>
      </c>
      <c r="M21" s="159" t="s">
        <v>276</v>
      </c>
      <c r="N21" s="160"/>
      <c r="O21" s="160" t="s">
        <v>269</v>
      </c>
      <c r="P21" s="161" t="s">
        <v>147</v>
      </c>
      <c r="Q21" s="130">
        <v>1</v>
      </c>
      <c r="R21" s="129" t="s">
        <v>181</v>
      </c>
      <c r="S21" s="162">
        <v>7</v>
      </c>
      <c r="T21" s="166" t="s">
        <v>233</v>
      </c>
    </row>
    <row r="22" spans="4:20" ht="106.5" customHeight="1" x14ac:dyDescent="0.25">
      <c r="D22" s="232" t="s">
        <v>234</v>
      </c>
      <c r="E22" s="138" t="s">
        <v>235</v>
      </c>
      <c r="F22" s="75">
        <v>13</v>
      </c>
      <c r="G22" s="168" t="s">
        <v>236</v>
      </c>
      <c r="H22" s="2" t="s">
        <v>237</v>
      </c>
      <c r="I22" s="139" t="s">
        <v>159</v>
      </c>
      <c r="J22" s="135">
        <v>1</v>
      </c>
      <c r="K22" s="126" t="s">
        <v>181</v>
      </c>
      <c r="L22" s="132">
        <v>15</v>
      </c>
      <c r="M22" s="159" t="s">
        <v>238</v>
      </c>
      <c r="N22" s="160" t="s">
        <v>269</v>
      </c>
      <c r="O22" s="160"/>
      <c r="P22" s="161" t="s">
        <v>181</v>
      </c>
      <c r="Q22" s="131">
        <v>3</v>
      </c>
      <c r="R22" s="129" t="s">
        <v>181</v>
      </c>
      <c r="S22" s="162">
        <v>13</v>
      </c>
      <c r="T22" s="166" t="s">
        <v>239</v>
      </c>
    </row>
    <row r="23" spans="4:20" ht="189.75" customHeight="1" x14ac:dyDescent="0.25">
      <c r="D23" s="232"/>
      <c r="E23" s="138" t="s">
        <v>235</v>
      </c>
      <c r="F23" s="75">
        <v>14</v>
      </c>
      <c r="G23" s="168" t="s">
        <v>240</v>
      </c>
      <c r="H23" s="2" t="s">
        <v>241</v>
      </c>
      <c r="I23" s="139" t="s">
        <v>159</v>
      </c>
      <c r="J23" s="135">
        <v>1</v>
      </c>
      <c r="K23" s="126" t="s">
        <v>181</v>
      </c>
      <c r="L23" s="132">
        <v>15</v>
      </c>
      <c r="M23" s="159" t="s">
        <v>242</v>
      </c>
      <c r="N23" s="160" t="s">
        <v>269</v>
      </c>
      <c r="O23" s="160"/>
      <c r="P23" s="161" t="s">
        <v>151</v>
      </c>
      <c r="Q23" s="137">
        <v>2</v>
      </c>
      <c r="R23" s="129" t="s">
        <v>151</v>
      </c>
      <c r="S23" s="167">
        <v>4</v>
      </c>
      <c r="T23" s="166" t="s">
        <v>243</v>
      </c>
    </row>
    <row r="24" spans="4:20" ht="185.25" customHeight="1" x14ac:dyDescent="0.25">
      <c r="D24" s="232" t="s">
        <v>244</v>
      </c>
      <c r="E24" s="138" t="s">
        <v>175</v>
      </c>
      <c r="F24" s="75">
        <v>15</v>
      </c>
      <c r="G24" s="168" t="s">
        <v>245</v>
      </c>
      <c r="H24" s="2" t="s">
        <v>277</v>
      </c>
      <c r="I24" s="126" t="s">
        <v>155</v>
      </c>
      <c r="J24" s="127">
        <v>3</v>
      </c>
      <c r="K24" s="126" t="s">
        <v>186</v>
      </c>
      <c r="L24" s="132">
        <v>19</v>
      </c>
      <c r="M24" s="159" t="s">
        <v>246</v>
      </c>
      <c r="N24" s="160" t="s">
        <v>269</v>
      </c>
      <c r="O24" s="160"/>
      <c r="P24" s="161" t="s">
        <v>151</v>
      </c>
      <c r="Q24" s="137">
        <v>2</v>
      </c>
      <c r="R24" s="129" t="s">
        <v>181</v>
      </c>
      <c r="S24" s="162">
        <v>10</v>
      </c>
      <c r="T24" s="166" t="s">
        <v>247</v>
      </c>
    </row>
    <row r="25" spans="4:20" ht="135" hidden="1" customHeight="1" x14ac:dyDescent="0.25">
      <c r="D25" s="232"/>
      <c r="E25" s="138" t="s">
        <v>217</v>
      </c>
      <c r="F25" s="75">
        <v>16</v>
      </c>
      <c r="G25" s="168" t="s">
        <v>278</v>
      </c>
      <c r="H25" s="2" t="s">
        <v>279</v>
      </c>
      <c r="I25" s="126" t="s">
        <v>155</v>
      </c>
      <c r="J25" s="127">
        <v>3</v>
      </c>
      <c r="K25" s="126" t="s">
        <v>179</v>
      </c>
      <c r="L25" s="128">
        <v>20</v>
      </c>
      <c r="M25" s="159" t="s">
        <v>248</v>
      </c>
      <c r="N25" s="160"/>
      <c r="O25" s="160" t="s">
        <v>269</v>
      </c>
      <c r="P25" s="161" t="s">
        <v>151</v>
      </c>
      <c r="Q25" s="137">
        <v>2</v>
      </c>
      <c r="R25" s="129" t="s">
        <v>163</v>
      </c>
      <c r="S25" s="165">
        <v>16</v>
      </c>
      <c r="T25" s="166" t="s">
        <v>249</v>
      </c>
    </row>
    <row r="26" spans="4:20" ht="159" hidden="1" customHeight="1" x14ac:dyDescent="0.25">
      <c r="D26" s="171" t="s">
        <v>250</v>
      </c>
      <c r="E26" s="138" t="s">
        <v>251</v>
      </c>
      <c r="F26" s="75">
        <v>17</v>
      </c>
      <c r="G26" s="169" t="s">
        <v>252</v>
      </c>
      <c r="H26" s="2" t="s">
        <v>253</v>
      </c>
      <c r="I26" s="133" t="s">
        <v>201</v>
      </c>
      <c r="J26" s="135">
        <v>1</v>
      </c>
      <c r="K26" s="126" t="s">
        <v>186</v>
      </c>
      <c r="L26" s="132">
        <v>19</v>
      </c>
      <c r="M26" s="159" t="s">
        <v>254</v>
      </c>
      <c r="N26" s="160"/>
      <c r="O26" s="160" t="s">
        <v>269</v>
      </c>
      <c r="P26" s="161" t="s">
        <v>147</v>
      </c>
      <c r="Q26" s="130">
        <v>1</v>
      </c>
      <c r="R26" s="129" t="s">
        <v>181</v>
      </c>
      <c r="S26" s="162">
        <v>8</v>
      </c>
      <c r="T26" s="166" t="s">
        <v>255</v>
      </c>
    </row>
    <row r="27" spans="4:20" ht="105" hidden="1" customHeight="1" x14ac:dyDescent="0.25">
      <c r="D27" s="232" t="s">
        <v>256</v>
      </c>
      <c r="E27" s="138" t="s">
        <v>251</v>
      </c>
      <c r="F27" s="75">
        <v>19</v>
      </c>
      <c r="G27" s="168" t="s">
        <v>257</v>
      </c>
      <c r="H27" s="2" t="s">
        <v>258</v>
      </c>
      <c r="I27" s="133" t="s">
        <v>151</v>
      </c>
      <c r="J27" s="134">
        <v>2</v>
      </c>
      <c r="K27" s="126" t="s">
        <v>181</v>
      </c>
      <c r="L27" s="136">
        <v>9</v>
      </c>
      <c r="M27" s="159" t="s">
        <v>259</v>
      </c>
      <c r="N27" s="160"/>
      <c r="O27" s="160" t="s">
        <v>269</v>
      </c>
      <c r="P27" s="161" t="s">
        <v>147</v>
      </c>
      <c r="Q27" s="130">
        <v>1</v>
      </c>
      <c r="R27" s="129" t="s">
        <v>151</v>
      </c>
      <c r="S27" s="167">
        <v>4</v>
      </c>
      <c r="T27" s="166" t="s">
        <v>260</v>
      </c>
    </row>
    <row r="28" spans="4:20" ht="103.5" hidden="1" customHeight="1" thickBot="1" x14ac:dyDescent="0.3">
      <c r="D28" s="233"/>
      <c r="E28" s="172" t="s">
        <v>251</v>
      </c>
      <c r="F28" s="77">
        <v>20</v>
      </c>
      <c r="G28" s="173" t="s">
        <v>261</v>
      </c>
      <c r="H28" s="8" t="s">
        <v>262</v>
      </c>
      <c r="I28" s="140" t="s">
        <v>151</v>
      </c>
      <c r="J28" s="141">
        <v>1</v>
      </c>
      <c r="K28" s="142" t="s">
        <v>181</v>
      </c>
      <c r="L28" s="143">
        <v>9</v>
      </c>
      <c r="M28" s="174" t="s">
        <v>263</v>
      </c>
      <c r="N28" s="160"/>
      <c r="O28" s="160" t="s">
        <v>269</v>
      </c>
      <c r="P28" s="175" t="s">
        <v>147</v>
      </c>
      <c r="Q28" s="176">
        <v>1</v>
      </c>
      <c r="R28" s="177" t="s">
        <v>181</v>
      </c>
      <c r="S28" s="178">
        <v>5</v>
      </c>
      <c r="T28" s="179" t="s">
        <v>264</v>
      </c>
    </row>
    <row r="29" spans="4:20" ht="86.25" customHeight="1" x14ac:dyDescent="0.25"/>
  </sheetData>
  <autoFilter ref="D9:U28" xr:uid="{00000000-0009-0000-0000-000004000000}">
    <filterColumn colId="5" showButton="0"/>
    <filterColumn colId="7" showButton="0"/>
    <filterColumn colId="10">
      <customFilters>
        <customFilter operator="notEqual" val=" "/>
      </customFilters>
    </filterColumn>
    <filterColumn colId="12" showButton="0"/>
    <filterColumn colId="14" showButton="0"/>
  </autoFilter>
  <mergeCells count="15">
    <mergeCell ref="D22:D23"/>
    <mergeCell ref="D24:D25"/>
    <mergeCell ref="D27:D28"/>
    <mergeCell ref="D10:D11"/>
    <mergeCell ref="D12:D13"/>
    <mergeCell ref="D14:D15"/>
    <mergeCell ref="D16:D17"/>
    <mergeCell ref="D18:D19"/>
    <mergeCell ref="D20:D21"/>
    <mergeCell ref="R9:S9"/>
    <mergeCell ref="H1:J1"/>
    <mergeCell ref="E2:F2"/>
    <mergeCell ref="I9:J9"/>
    <mergeCell ref="K9:L9"/>
    <mergeCell ref="P9:Q9"/>
  </mergeCells>
  <conditionalFormatting sqref="J10">
    <cfRule type="cellIs" dxfId="0" priority="1" operator="equal">
      <formula>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BSC Batifruit´s</vt:lpstr>
      <vt:lpstr>EE.RR</vt:lpstr>
      <vt:lpstr>E.S.F</vt:lpstr>
      <vt:lpstr>Empleados</vt:lpstr>
      <vt:lpstr>Controles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Ferney Camilo Ramírez Hamón</dc:creator>
  <cp:lastModifiedBy>Ferney Camilo Ramírez Hamón</cp:lastModifiedBy>
  <dcterms:created xsi:type="dcterms:W3CDTF">2020-03-31T00:34:56Z</dcterms:created>
  <dcterms:modified xsi:type="dcterms:W3CDTF">2020-05-16T20:51:12Z</dcterms:modified>
</cp:coreProperties>
</file>