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il\Documents\NOVENO SEMESTRE\BATIFRUIT´S S.A.S\ENTREGA FINAL NTF\Gestión Financiera\Estados Financieros\"/>
    </mc:Choice>
  </mc:AlternateContent>
  <xr:revisionPtr revIDLastSave="0" documentId="13_ncr:1_{C4C6195C-B204-47B5-B563-50FB1FADFB79}" xr6:coauthVersionLast="44" xr6:coauthVersionMax="44" xr10:uidLastSave="{00000000-0000-0000-0000-000000000000}"/>
  <workbookProtection workbookAlgorithmName="SHA-512" workbookHashValue="H3IxZMuQWBnQgLI7TctMWaCbA7BE6bxs2FUvXIBLfylMSYEd+N6yQBYwusBoIgcmIS3JNMsK7eX7qC2GrTlghA==" workbookSaltValue="L2KD2szFqq5a6JjXmhQv9Q==" workbookSpinCount="100000" lockStructure="1"/>
  <bookViews>
    <workbookView xWindow="-120" yWindow="-120" windowWidth="20730" windowHeight="11280" tabRatio="950" xr2:uid="{00000000-000D-0000-FFFF-FFFF00000000}"/>
  </bookViews>
  <sheets>
    <sheet name="Estado de Situación Financiera" sheetId="16" r:id="rId1"/>
    <sheet name="Estado de Resultados" sheetId="17" r:id="rId2"/>
    <sheet name="Estado de Flujo de Efecivo" sheetId="18" r:id="rId3"/>
    <sheet name="Esta. de Cambi. Patrimoni" sheetId="19" r:id="rId4"/>
  </sheets>
  <externalReferences>
    <externalReference r:id="rId5"/>
    <externalReference r:id="rId6"/>
    <externalReference r:id="rId7"/>
  </externalReferenc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9" l="1"/>
  <c r="L21" i="19" s="1"/>
  <c r="N20" i="19"/>
  <c r="N21" i="19" s="1"/>
  <c r="N22" i="19" s="1"/>
  <c r="I20" i="19"/>
  <c r="L20" i="19" s="1"/>
  <c r="N19" i="19"/>
  <c r="H19" i="19"/>
  <c r="F15" i="19"/>
  <c r="F17" i="19" s="1"/>
  <c r="F22" i="19" s="1"/>
  <c r="E15" i="19"/>
  <c r="E17" i="19" s="1"/>
  <c r="E22" i="19" s="1"/>
  <c r="L14" i="19"/>
  <c r="I13" i="19"/>
  <c r="L13" i="19" s="1"/>
  <c r="L12" i="19"/>
  <c r="H11" i="19"/>
  <c r="K11" i="19" s="1"/>
  <c r="D11" i="19"/>
  <c r="K9" i="19"/>
  <c r="J9" i="19"/>
  <c r="I9" i="19"/>
  <c r="I15" i="19" s="1"/>
  <c r="I17" i="19" s="1"/>
  <c r="I22" i="19" s="1"/>
  <c r="H9" i="19"/>
  <c r="H15" i="19" s="1"/>
  <c r="H17" i="19" s="1"/>
  <c r="H22" i="19" s="1"/>
  <c r="G9" i="19"/>
  <c r="G15" i="19" s="1"/>
  <c r="G17" i="19" s="1"/>
  <c r="G22" i="19" s="1"/>
  <c r="F9" i="19"/>
  <c r="D9" i="19"/>
  <c r="D15" i="19" s="1"/>
  <c r="D17" i="19" s="1"/>
  <c r="D22" i="19" l="1"/>
  <c r="L19" i="19"/>
  <c r="L11" i="19"/>
  <c r="L9" i="19"/>
  <c r="L15" i="19" s="1"/>
  <c r="J10" i="19"/>
  <c r="K10" i="19" s="1"/>
  <c r="K15" i="19" s="1"/>
  <c r="K17" i="19" s="1"/>
  <c r="K19" i="19"/>
  <c r="J15" i="19" l="1"/>
  <c r="J17" i="19" s="1"/>
  <c r="K18" i="19" l="1"/>
  <c r="K22" i="19" s="1"/>
  <c r="J18" i="19"/>
  <c r="L18" i="19" s="1"/>
  <c r="L17" i="19"/>
  <c r="L22" i="19" l="1"/>
  <c r="J22" i="19"/>
  <c r="G34" i="18" l="1"/>
  <c r="E34" i="18"/>
  <c r="I34" i="18" s="1"/>
  <c r="J34" i="18" s="1"/>
  <c r="G33" i="18"/>
  <c r="E33" i="18"/>
  <c r="I33" i="18" s="1"/>
  <c r="J33" i="18" s="1"/>
  <c r="G32" i="18"/>
  <c r="E32" i="18"/>
  <c r="I32" i="18" s="1"/>
  <c r="J32" i="18" s="1"/>
  <c r="G30" i="18"/>
  <c r="E30" i="18"/>
  <c r="I30" i="18" s="1"/>
  <c r="J30" i="18" s="1"/>
  <c r="G29" i="18"/>
  <c r="E29" i="18"/>
  <c r="I29" i="18" s="1"/>
  <c r="J29" i="18" s="1"/>
  <c r="G28" i="18"/>
  <c r="E28" i="18"/>
  <c r="I28" i="18" s="1"/>
  <c r="J28" i="18" s="1"/>
  <c r="G27" i="18"/>
  <c r="E27" i="18"/>
  <c r="G26" i="18"/>
  <c r="E26" i="18"/>
  <c r="I26" i="18" s="1"/>
  <c r="J26" i="18" s="1"/>
  <c r="I25" i="18"/>
  <c r="I24" i="18"/>
  <c r="G24" i="18"/>
  <c r="E24" i="18"/>
  <c r="G23" i="18"/>
  <c r="E23" i="18"/>
  <c r="I23" i="18" s="1"/>
  <c r="J23" i="18" s="1"/>
  <c r="I22" i="18"/>
  <c r="J22" i="18" s="1"/>
  <c r="G22" i="18"/>
  <c r="E22" i="18"/>
  <c r="G21" i="18"/>
  <c r="E21" i="18"/>
  <c r="I21" i="18" s="1"/>
  <c r="G19" i="18"/>
  <c r="I19" i="18" s="1"/>
  <c r="J19" i="18" s="1"/>
  <c r="E19" i="18"/>
  <c r="G17" i="18"/>
  <c r="E17" i="18"/>
  <c r="I17" i="18" s="1"/>
  <c r="J17" i="18" s="1"/>
  <c r="G16" i="18"/>
  <c r="I16" i="18" s="1"/>
  <c r="J16" i="18" s="1"/>
  <c r="E16" i="18"/>
  <c r="G15" i="18"/>
  <c r="E15" i="18"/>
  <c r="I15" i="18" s="1"/>
  <c r="J15" i="18" s="1"/>
  <c r="G14" i="18"/>
  <c r="I14" i="18" s="1"/>
  <c r="J14" i="18" s="1"/>
  <c r="E14" i="18"/>
  <c r="G13" i="18"/>
  <c r="E13" i="18"/>
  <c r="I13" i="18" s="1"/>
  <c r="J13" i="18" s="1"/>
  <c r="G12" i="18"/>
  <c r="I12" i="18" s="1"/>
  <c r="J12" i="18" s="1"/>
  <c r="E12" i="18"/>
  <c r="L11" i="18"/>
  <c r="G10" i="18"/>
  <c r="E10" i="18"/>
  <c r="I10" i="18" s="1"/>
  <c r="J10" i="18" s="1"/>
  <c r="I19" i="17" l="1"/>
  <c r="J19" i="17" s="1"/>
  <c r="F19" i="17"/>
  <c r="G19" i="17" s="1"/>
  <c r="D19" i="17"/>
  <c r="E19" i="17" s="1"/>
  <c r="M17" i="17"/>
  <c r="K17" i="17"/>
  <c r="F17" i="17" s="1"/>
  <c r="E17" i="17"/>
  <c r="F16" i="17"/>
  <c r="G16" i="17" s="1"/>
  <c r="D16" i="17"/>
  <c r="I16" i="17" s="1"/>
  <c r="J16" i="17" s="1"/>
  <c r="I14" i="17"/>
  <c r="J14" i="17" s="1"/>
  <c r="F14" i="17"/>
  <c r="G14" i="17" s="1"/>
  <c r="E14" i="17"/>
  <c r="I13" i="17"/>
  <c r="J13" i="17" s="1"/>
  <c r="F13" i="17"/>
  <c r="G13" i="17" s="1"/>
  <c r="E13" i="17"/>
  <c r="D12" i="17"/>
  <c r="D15" i="17" s="1"/>
  <c r="F11" i="17"/>
  <c r="I11" i="17" s="1"/>
  <c r="J11" i="17" s="1"/>
  <c r="E11" i="17"/>
  <c r="F10" i="17"/>
  <c r="F12" i="17" s="1"/>
  <c r="M9" i="17"/>
  <c r="D18" i="17" l="1"/>
  <c r="I17" i="17"/>
  <c r="J17" i="17" s="1"/>
  <c r="G17" i="17"/>
  <c r="I12" i="17"/>
  <c r="J12" i="17" s="1"/>
  <c r="F15" i="17"/>
  <c r="F18" i="17" s="1"/>
  <c r="F20" i="17" s="1"/>
  <c r="I10" i="17"/>
  <c r="J10" i="17" s="1"/>
  <c r="E16" i="17"/>
  <c r="G11" i="17"/>
  <c r="G20" i="17" l="1"/>
  <c r="O9" i="17"/>
  <c r="D20" i="17"/>
  <c r="I18" i="17"/>
  <c r="J18" i="17" s="1"/>
  <c r="I15" i="17"/>
  <c r="J15" i="17" s="1"/>
  <c r="N9" i="17" l="1"/>
  <c r="I20" i="17"/>
  <c r="J20" i="17" s="1"/>
  <c r="E20" i="17"/>
  <c r="C18" i="16" l="1"/>
  <c r="C40" i="16"/>
  <c r="E42" i="16" l="1"/>
  <c r="E41" i="16"/>
  <c r="C27" i="16" l="1"/>
  <c r="C14" i="16"/>
  <c r="N16" i="16"/>
  <c r="C10" i="16"/>
  <c r="C26" i="16"/>
  <c r="C43" i="16"/>
  <c r="E43" i="16" l="1"/>
  <c r="C42" i="16" l="1"/>
  <c r="C41" i="16"/>
  <c r="C28" i="16"/>
  <c r="C32" i="16"/>
  <c r="C25" i="16" l="1"/>
  <c r="C19" i="16"/>
  <c r="C13" i="16"/>
  <c r="C12" i="16"/>
  <c r="C11" i="16"/>
  <c r="H43" i="16"/>
  <c r="I43" i="16" s="1"/>
  <c r="C39" i="16"/>
  <c r="C38" i="16"/>
  <c r="C33" i="16"/>
  <c r="E40" i="16"/>
  <c r="E39" i="16"/>
  <c r="E38" i="16"/>
  <c r="E32" i="16"/>
  <c r="E33" i="16" s="1"/>
  <c r="E28" i="16"/>
  <c r="E27" i="16"/>
  <c r="E26" i="16"/>
  <c r="E25" i="16"/>
  <c r="E19" i="16"/>
  <c r="E18" i="16"/>
  <c r="H18" i="16" s="1"/>
  <c r="I18" i="16" s="1"/>
  <c r="E14" i="16"/>
  <c r="E13" i="16"/>
  <c r="E12" i="16"/>
  <c r="E11" i="16"/>
  <c r="E10" i="16"/>
  <c r="H13" i="16" l="1"/>
  <c r="I13" i="16" s="1"/>
  <c r="H25" i="16"/>
  <c r="I25" i="16" s="1"/>
  <c r="H33" i="16"/>
  <c r="I33" i="16" s="1"/>
  <c r="H41" i="16"/>
  <c r="I41" i="16" s="1"/>
  <c r="H38" i="16"/>
  <c r="I38" i="16" s="1"/>
  <c r="H42" i="16"/>
  <c r="I42" i="16" s="1"/>
  <c r="H11" i="16"/>
  <c r="I11" i="16" s="1"/>
  <c r="H39" i="16"/>
  <c r="I39" i="16" s="1"/>
  <c r="H10" i="16"/>
  <c r="I10" i="16" s="1"/>
  <c r="H14" i="16"/>
  <c r="I14" i="16" s="1"/>
  <c r="H26" i="16"/>
  <c r="I26" i="16" s="1"/>
  <c r="H27" i="16"/>
  <c r="I27" i="16" s="1"/>
  <c r="H12" i="16"/>
  <c r="I12" i="16" s="1"/>
  <c r="H19" i="16"/>
  <c r="I19" i="16" s="1"/>
  <c r="H28" i="16"/>
  <c r="I28" i="16" s="1"/>
  <c r="H40" i="16"/>
  <c r="I40" i="16" s="1"/>
  <c r="H32" i="16"/>
  <c r="I32" i="16" s="1"/>
  <c r="E15" i="16"/>
  <c r="E44" i="16"/>
  <c r="C15" i="16"/>
  <c r="H15" i="16" s="1"/>
  <c r="I15" i="16" s="1"/>
  <c r="C29" i="16"/>
  <c r="C20" i="16"/>
  <c r="C44" i="16"/>
  <c r="E20" i="16"/>
  <c r="E29" i="16"/>
  <c r="C22" i="16" l="1"/>
  <c r="H20" i="16"/>
  <c r="H44" i="16"/>
  <c r="I44" i="16" s="1"/>
  <c r="I20" i="16"/>
  <c r="E22" i="16"/>
  <c r="F12" i="16" s="1"/>
  <c r="C35" i="16"/>
  <c r="C46" i="16" s="1"/>
  <c r="H29" i="16"/>
  <c r="I29" i="16" s="1"/>
  <c r="F10" i="16"/>
  <c r="F18" i="16"/>
  <c r="E35" i="16"/>
  <c r="D25" i="16" l="1"/>
  <c r="H22" i="16"/>
  <c r="I22" i="16" s="1"/>
  <c r="F14" i="16"/>
  <c r="F19" i="16"/>
  <c r="F11" i="16"/>
  <c r="F13" i="16"/>
  <c r="H35" i="16"/>
  <c r="I35" i="16" s="1"/>
  <c r="D13" i="16"/>
  <c r="D12" i="16"/>
  <c r="D19" i="16"/>
  <c r="D10" i="16"/>
  <c r="D11" i="16"/>
  <c r="D14" i="16"/>
  <c r="D18" i="16"/>
  <c r="D40" i="16"/>
  <c r="D26" i="16"/>
  <c r="D41" i="16"/>
  <c r="D42" i="16"/>
  <c r="D39" i="16"/>
  <c r="D32" i="16"/>
  <c r="D38" i="16"/>
  <c r="D27" i="16"/>
  <c r="D43" i="16"/>
  <c r="D28" i="16"/>
  <c r="E46" i="16"/>
  <c r="H46" i="16" s="1"/>
  <c r="I46" i="16" s="1"/>
  <c r="D46" i="16" l="1"/>
  <c r="F22" i="16"/>
  <c r="D22" i="16"/>
  <c r="F26" i="16"/>
  <c r="F38" i="16"/>
  <c r="F27" i="16"/>
  <c r="F25" i="16"/>
  <c r="F40" i="16"/>
  <c r="F42" i="16"/>
  <c r="F39" i="16"/>
  <c r="F43" i="16"/>
  <c r="F28" i="16"/>
  <c r="F32" i="16"/>
  <c r="F41" i="16"/>
  <c r="F46" i="16" l="1"/>
</calcChain>
</file>

<file path=xl/sharedStrings.xml><?xml version="1.0" encoding="utf-8"?>
<sst xmlns="http://schemas.openxmlformats.org/spreadsheetml/2006/main" count="146" uniqueCount="118">
  <si>
    <t>NIT. 900.532.395-4</t>
  </si>
  <si>
    <t>Nota</t>
  </si>
  <si>
    <t>Var. Absoluta</t>
  </si>
  <si>
    <t>%</t>
  </si>
  <si>
    <t xml:space="preserve">                         Ferney Camilo Ramírez Hamón</t>
  </si>
  <si>
    <t>Camilo Andrés Torrado Fajardo</t>
  </si>
  <si>
    <t xml:space="preserve">                                Representante Legal</t>
  </si>
  <si>
    <t>Contador Público</t>
  </si>
  <si>
    <t>T.P 213115 - T</t>
  </si>
  <si>
    <t>BATIFRUIT´S S.A.S</t>
  </si>
  <si>
    <t>Activo Corriente</t>
  </si>
  <si>
    <t>Efectivo y equivalentes al efectivo</t>
  </si>
  <si>
    <t>Inventarios</t>
  </si>
  <si>
    <t>Total Activo Corriente</t>
  </si>
  <si>
    <t>TOTAL ACTIVO</t>
  </si>
  <si>
    <t>Pasivo Corriente</t>
  </si>
  <si>
    <t>Total pasivo corriente</t>
  </si>
  <si>
    <t>TOTAL PASIVO</t>
  </si>
  <si>
    <t>TOTAL PASIVO + PATRIMONIO</t>
  </si>
  <si>
    <t>Activos por impuestos</t>
  </si>
  <si>
    <t>Cuentas comerciales por cobrar y otras cuentas por cobrar</t>
  </si>
  <si>
    <t>Activo no Corriente</t>
  </si>
  <si>
    <t xml:space="preserve">Propiedades, planta y equipo </t>
  </si>
  <si>
    <t>Activos intangibles diferentes a la plusvalía</t>
  </si>
  <si>
    <t>Total Activo no Corriente</t>
  </si>
  <si>
    <t>Obligaciones Financieras</t>
  </si>
  <si>
    <t>Patrimonio Neto</t>
  </si>
  <si>
    <t>Capital Social</t>
  </si>
  <si>
    <t>Superávit de Capital</t>
  </si>
  <si>
    <t>Superávit por Valorizaciones</t>
  </si>
  <si>
    <t>Reservas</t>
  </si>
  <si>
    <t>Utilidad Acumulada</t>
  </si>
  <si>
    <t xml:space="preserve">Resultados del ejercicio </t>
  </si>
  <si>
    <t>Activos diferidos</t>
  </si>
  <si>
    <t>Pasivo No Corriente</t>
  </si>
  <si>
    <t>Total pasivo No corriente</t>
  </si>
  <si>
    <t>Junio 2018</t>
  </si>
  <si>
    <t xml:space="preserve">CIFRAS EXPRESADAS EN MILES DE PESOS COLOMBIANOS </t>
  </si>
  <si>
    <t>Obligaciones tributarias</t>
  </si>
  <si>
    <t>Obligaciones Laborales</t>
  </si>
  <si>
    <t>TOTAL PATRIMONIO NETO</t>
  </si>
  <si>
    <t xml:space="preserve">Cuentas Comerciales por Pagar </t>
  </si>
  <si>
    <t>Diciembre 2018</t>
  </si>
  <si>
    <t>AL 31 DE DICIEMBRE Y 30 DE JUNIO DE 2018</t>
  </si>
  <si>
    <t>ESTADO DE SITUACIÓN FINANCIERA COMPARATIVO</t>
  </si>
  <si>
    <t xml:space="preserve">ICA x Pagar </t>
  </si>
  <si>
    <t>ReteICA X Pagar</t>
  </si>
  <si>
    <t>Anti. ReteICA</t>
  </si>
  <si>
    <t>Cr</t>
  </si>
  <si>
    <t>Db</t>
  </si>
  <si>
    <t>ICA Estado</t>
  </si>
  <si>
    <t>CORRESPONDIENTES A LOS EJERCICIOS DEL 1 DE ENERO A 30 DE JUNIO Y 1 DE JULIO A 31 DE DICIEMBRE DE 2018</t>
  </si>
  <si>
    <t>Ingresos Operacionales</t>
  </si>
  <si>
    <t>Costo de Ventas</t>
  </si>
  <si>
    <t>Utilidad Bruta</t>
  </si>
  <si>
    <t>Gastos administrativos</t>
  </si>
  <si>
    <t>Gasto de ventas</t>
  </si>
  <si>
    <t>Ganancia por actividades de operación</t>
  </si>
  <si>
    <t>Gastos Financieros</t>
  </si>
  <si>
    <t>Ingresos Financieros</t>
  </si>
  <si>
    <t>Resultado antes de impuestos procedente de operaciones continuadas</t>
  </si>
  <si>
    <t>Gastos por impuestos sobre las ganancias</t>
  </si>
  <si>
    <t>Ganancia Neta del ejercicio</t>
  </si>
  <si>
    <t>ESTADO DE RESULTADOS COMPARATIVO</t>
  </si>
  <si>
    <t>ESTADO DE FLUJO DE EFECTIVOS COMPARATIVO</t>
  </si>
  <si>
    <t>MÉTODO DIRECTO</t>
  </si>
  <si>
    <t>AL 30 DE JUNIO Y 31 DE DICIEMBRE DE 2018</t>
  </si>
  <si>
    <t>A 31 DE DICIEMBRE DE 2018</t>
  </si>
  <si>
    <t>A 30 DE JUNIO DE 2018</t>
  </si>
  <si>
    <t>FLUJOS DE EFECTIVO PROCEDENTE DE ACTIVIDADES DE OPERACIÓN</t>
  </si>
  <si>
    <t>Recaudo a Clientes</t>
  </si>
  <si>
    <t>Pago a proveedores</t>
  </si>
  <si>
    <t>Recaudo de Intereses de clientes</t>
  </si>
  <si>
    <t>Pago por gastos de Administración y ventas</t>
  </si>
  <si>
    <t>Variación Obligaciones Tributarias</t>
  </si>
  <si>
    <t>Variación Otros Gastos</t>
  </si>
  <si>
    <t>FLUJOS DE EFECTIVO PROCEDENTE DE ACTIVIDADES DE INVERSIÓN</t>
  </si>
  <si>
    <t xml:space="preserve">Compra de Propiedad Planta y Equipo </t>
  </si>
  <si>
    <t>N.A</t>
  </si>
  <si>
    <t>Valorizaciones</t>
  </si>
  <si>
    <t xml:space="preserve"> Inversiones y Otros</t>
  </si>
  <si>
    <t xml:space="preserve">Depreciaciones y Amortizaciones </t>
  </si>
  <si>
    <t>FLUJOS DE EFECTIVO PROCEDENTE DE ACTIVIDADES DE FINANCIACIÓN</t>
  </si>
  <si>
    <t>Aumento de Capital por Pago de Accionistas</t>
  </si>
  <si>
    <t>Obligaciones Financieras Adquiridas</t>
  </si>
  <si>
    <t>Pago de Obligaciones Financieras - Intereses Obligación Financiera</t>
  </si>
  <si>
    <t>INCREMENTO O DISMINUCIÓN NETO EN EFECTIVO Y EQUIVALENTE AL EFECTIVO</t>
  </si>
  <si>
    <t>EFECTIVO Y EQUIVALENTE DEL EFECTIVO, AL INICIO DEL PERÍODO</t>
  </si>
  <si>
    <t>EFECTIVO Y EQUIVALENTE DEL EFECTIVO, AL FINAL DEL PERÍODO</t>
  </si>
  <si>
    <t>LAS NOTAS ADJUNTAS FORMAN PARTE INTEGRAL DE LOS ESTADOS FINANCIEROS</t>
  </si>
  <si>
    <t>NIT. 900.532.395 - 4</t>
  </si>
  <si>
    <t>ESTADO DE CAMBIOS EN EL PATRIMONIO COMPARATIVO</t>
  </si>
  <si>
    <t>POR LOS PERIODOS COMPRENDIDOS ENTRE DEL 01 DE ENERO A 30 DE JUNIO Y 1 DE JULIO A 31 DE DICIEMBRE DE 2018</t>
  </si>
  <si>
    <t>CIFRAS EXPRESADAS EN MILES DE PESOS COLOMBIANOS</t>
  </si>
  <si>
    <t>DEL 01 DE ENERO DE 2018 AL 30 DE JUNIO DE 2018</t>
  </si>
  <si>
    <t>Capital Suscrito Y Pagado</t>
  </si>
  <si>
    <t>Capital Suscrito Por Cobrar</t>
  </si>
  <si>
    <t>Prima en Colocación de Acciones</t>
  </si>
  <si>
    <t>Donaciones</t>
  </si>
  <si>
    <t>Reserva Legal</t>
  </si>
  <si>
    <t>Superavit Por Valorizaciones</t>
  </si>
  <si>
    <t>Resultados del ejercicio</t>
  </si>
  <si>
    <t>Utilidades Acumuladas</t>
  </si>
  <si>
    <t>TOTAL</t>
  </si>
  <si>
    <t>SALDOS AL 31 DE DICIEMBRE DE 2017</t>
  </si>
  <si>
    <t>Traslado resultado ejercicios anteriores</t>
  </si>
  <si>
    <t xml:space="preserve"> </t>
  </si>
  <si>
    <t>Aumento del Capital Social</t>
  </si>
  <si>
    <t>Apropiación Reserva Legal</t>
  </si>
  <si>
    <t>Venta acciones- Juan Valdéz</t>
  </si>
  <si>
    <t>Resultado del ejercicio a 30 de junio de 2018</t>
  </si>
  <si>
    <t>TOTAL A 30 DE JUNIO DE 2018</t>
  </si>
  <si>
    <t>DEL 01 DE JULIO DE 2018 AL 31 DE DICIEMBRE DE 2018</t>
  </si>
  <si>
    <t>SALDOS AL 30 DE JUNIO DE 2018</t>
  </si>
  <si>
    <t>Reclasificación resultado ejercicios anteriores</t>
  </si>
  <si>
    <t>Superavit por Valorización</t>
  </si>
  <si>
    <t>Resultado del ejercicio a 31 de diciembre de 2018</t>
  </si>
  <si>
    <t>TOTAL A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</si>
</sst>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&quot;$&quot;#,##0;[Red]\-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8">
    <xf numFmtId="0" fontId="0" fillId="0" borderId="0" xfId="0"/>
    <xf numFmtId="9" fontId="0" fillId="0" borderId="0" xfId="2" applyFont="1"/>
    <xf numFmtId="9" fontId="0" fillId="0" borderId="0" xfId="2" applyFont="1" applyAlignment="1">
      <alignment horizontal="center" vertical="center"/>
    </xf>
    <xf numFmtId="166" fontId="0" fillId="0" borderId="0" xfId="0" applyNumberFormat="1"/>
    <xf numFmtId="0" fontId="2" fillId="0" borderId="0" xfId="0" applyFont="1"/>
    <xf numFmtId="0" fontId="3" fillId="0" borderId="0" xfId="0" quotePrefix="1" applyFont="1" applyAlignment="1">
      <alignment horizontal="center"/>
    </xf>
    <xf numFmtId="9" fontId="3" fillId="0" borderId="0" xfId="2" quotePrefix="1" applyFont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1" applyNumberFormat="1" applyFont="1"/>
    <xf numFmtId="0" fontId="0" fillId="0" borderId="0" xfId="0" applyFont="1"/>
    <xf numFmtId="166" fontId="1" fillId="0" borderId="0" xfId="1" applyNumberFormat="1" applyFont="1"/>
    <xf numFmtId="166" fontId="2" fillId="0" borderId="0" xfId="0" applyNumberFormat="1" applyFont="1"/>
    <xf numFmtId="166" fontId="1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2" borderId="0" xfId="0" applyFill="1"/>
    <xf numFmtId="166" fontId="2" fillId="0" borderId="0" xfId="1" applyNumberFormat="1" applyFont="1"/>
    <xf numFmtId="164" fontId="0" fillId="0" borderId="0" xfId="3" applyFont="1"/>
    <xf numFmtId="166" fontId="2" fillId="0" borderId="0" xfId="1" applyNumberFormat="1" applyFont="1" applyBorder="1"/>
    <xf numFmtId="166" fontId="0" fillId="0" borderId="0" xfId="1" applyNumberFormat="1" applyFont="1" applyBorder="1"/>
    <xf numFmtId="166" fontId="0" fillId="0" borderId="1" xfId="1" applyNumberFormat="1" applyFont="1" applyBorder="1"/>
    <xf numFmtId="0" fontId="0" fillId="3" borderId="0" xfId="0" applyFill="1"/>
    <xf numFmtId="164" fontId="0" fillId="0" borderId="0" xfId="0" applyNumberFormat="1"/>
    <xf numFmtId="0" fontId="0" fillId="0" borderId="0" xfId="0" applyAlignment="1">
      <alignment horizontal="center"/>
    </xf>
    <xf numFmtId="167" fontId="0" fillId="2" borderId="0" xfId="0" applyNumberFormat="1" applyFill="1"/>
    <xf numFmtId="9" fontId="2" fillId="0" borderId="0" xfId="2" applyFont="1" applyAlignment="1">
      <alignment horizontal="center" vertical="center"/>
    </xf>
    <xf numFmtId="166" fontId="1" fillId="0" borderId="0" xfId="1" applyNumberFormat="1" applyFont="1" applyBorder="1"/>
    <xf numFmtId="0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/>
    </xf>
    <xf numFmtId="166" fontId="0" fillId="3" borderId="0" xfId="0" applyNumberFormat="1" applyFill="1"/>
    <xf numFmtId="166" fontId="2" fillId="0" borderId="2" xfId="1" applyNumberFormat="1" applyFont="1" applyBorder="1"/>
    <xf numFmtId="166" fontId="4" fillId="0" borderId="0" xfId="1" applyNumberFormat="1" applyFont="1" applyBorder="1"/>
    <xf numFmtId="166" fontId="2" fillId="0" borderId="1" xfId="1" applyNumberFormat="1" applyFont="1" applyBorder="1"/>
    <xf numFmtId="164" fontId="2" fillId="0" borderId="0" xfId="3" applyFont="1"/>
    <xf numFmtId="0" fontId="0" fillId="0" borderId="0" xfId="0" applyFont="1" applyAlignment="1">
      <alignment horizontal="center"/>
    </xf>
    <xf numFmtId="166" fontId="1" fillId="0" borderId="0" xfId="1" applyNumberFormat="1" applyFont="1" applyBorder="1" applyAlignment="1">
      <alignment horizontal="center"/>
    </xf>
    <xf numFmtId="166" fontId="0" fillId="0" borderId="0" xfId="0" applyNumberFormat="1" applyBorder="1"/>
    <xf numFmtId="0" fontId="2" fillId="0" borderId="0" xfId="0" applyFont="1" applyAlignment="1">
      <alignment horizontal="center" vertical="center"/>
    </xf>
    <xf numFmtId="164" fontId="0" fillId="3" borderId="0" xfId="3" applyFont="1" applyFill="1"/>
    <xf numFmtId="0" fontId="2" fillId="0" borderId="0" xfId="0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0" fillId="3" borderId="0" xfId="1" applyNumberFormat="1" applyFont="1" applyFill="1"/>
    <xf numFmtId="166" fontId="1" fillId="3" borderId="0" xfId="1" applyNumberFormat="1" applyFont="1" applyFill="1" applyBorder="1"/>
    <xf numFmtId="9" fontId="0" fillId="0" borderId="0" xfId="2" applyNumberFormat="1" applyFont="1" applyAlignment="1">
      <alignment horizontal="center"/>
    </xf>
    <xf numFmtId="9" fontId="2" fillId="0" borderId="0" xfId="2" applyNumberFormat="1" applyFont="1" applyAlignment="1">
      <alignment horizontal="center"/>
    </xf>
    <xf numFmtId="9" fontId="1" fillId="0" borderId="0" xfId="2" applyNumberFormat="1" applyFont="1" applyAlignment="1">
      <alignment horizontal="center" vertical="center"/>
    </xf>
    <xf numFmtId="9" fontId="0" fillId="0" borderId="0" xfId="2" applyNumberFormat="1" applyFont="1" applyAlignment="1">
      <alignment horizontal="center" vertical="center"/>
    </xf>
    <xf numFmtId="9" fontId="2" fillId="0" borderId="0" xfId="2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0" fillId="0" borderId="0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9" fontId="7" fillId="0" borderId="0" xfId="2" applyFont="1" applyAlignment="1">
      <alignment horizontal="center" vertical="center"/>
    </xf>
    <xf numFmtId="17" fontId="0" fillId="0" borderId="0" xfId="0" applyNumberFormat="1"/>
    <xf numFmtId="17" fontId="5" fillId="0" borderId="0" xfId="0" applyNumberFormat="1" applyFont="1"/>
    <xf numFmtId="9" fontId="3" fillId="0" borderId="0" xfId="2" quotePrefix="1" applyFont="1" applyAlignment="1">
      <alignment horizontal="center" vertical="center"/>
    </xf>
    <xf numFmtId="9" fontId="8" fillId="0" borderId="0" xfId="2" quotePrefix="1" applyFont="1" applyAlignment="1">
      <alignment horizontal="center" vertical="center"/>
    </xf>
    <xf numFmtId="166" fontId="5" fillId="0" borderId="0" xfId="0" applyNumberFormat="1" applyFont="1"/>
    <xf numFmtId="9" fontId="0" fillId="2" borderId="0" xfId="2" applyFont="1" applyFill="1" applyAlignment="1">
      <alignment horizontal="center" vertical="center"/>
    </xf>
    <xf numFmtId="166" fontId="7" fillId="3" borderId="0" xfId="2" applyNumberFormat="1" applyFont="1" applyFill="1" applyAlignment="1">
      <alignment horizontal="center" vertical="center"/>
    </xf>
    <xf numFmtId="9" fontId="7" fillId="3" borderId="0" xfId="2" applyFont="1" applyFill="1" applyAlignment="1">
      <alignment horizontal="center" vertical="center"/>
    </xf>
    <xf numFmtId="164" fontId="6" fillId="0" borderId="0" xfId="3" applyFont="1"/>
    <xf numFmtId="9" fontId="5" fillId="0" borderId="0" xfId="0" applyNumberFormat="1" applyFont="1"/>
    <xf numFmtId="9" fontId="5" fillId="0" borderId="0" xfId="2" applyFont="1"/>
    <xf numFmtId="166" fontId="4" fillId="0" borderId="0" xfId="1" applyNumberFormat="1" applyFont="1"/>
    <xf numFmtId="9" fontId="1" fillId="0" borderId="0" xfId="2" applyAlignment="1">
      <alignment horizontal="center" vertical="center"/>
    </xf>
    <xf numFmtId="10" fontId="1" fillId="2" borderId="0" xfId="2" applyNumberFormat="1" applyFill="1" applyAlignment="1">
      <alignment horizontal="center" vertical="center"/>
    </xf>
    <xf numFmtId="9" fontId="9" fillId="0" borderId="0" xfId="2" applyFont="1" applyAlignment="1">
      <alignment horizontal="center" vertical="center"/>
    </xf>
    <xf numFmtId="10" fontId="9" fillId="2" borderId="0" xfId="2" applyNumberFormat="1" applyFont="1" applyFill="1" applyAlignment="1">
      <alignment horizontal="center" vertical="center"/>
    </xf>
    <xf numFmtId="164" fontId="7" fillId="0" borderId="0" xfId="3" applyFont="1"/>
    <xf numFmtId="9" fontId="8" fillId="0" borderId="0" xfId="2" applyFont="1" applyAlignment="1">
      <alignment horizontal="center" vertical="center"/>
    </xf>
    <xf numFmtId="10" fontId="8" fillId="2" borderId="0" xfId="2" applyNumberFormat="1" applyFont="1" applyFill="1" applyAlignment="1">
      <alignment horizontal="center" vertical="center"/>
    </xf>
    <xf numFmtId="0" fontId="2" fillId="0" borderId="0" xfId="0" applyFont="1" applyAlignment="1">
      <alignment horizontal="left" wrapText="1"/>
    </xf>
    <xf numFmtId="166" fontId="2" fillId="0" borderId="0" xfId="1" applyNumberFormat="1" applyFont="1" applyAlignment="1">
      <alignment horizontal="center" vertical="center"/>
    </xf>
    <xf numFmtId="0" fontId="10" fillId="0" borderId="0" xfId="0" applyFont="1"/>
    <xf numFmtId="166" fontId="0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166" fontId="2" fillId="0" borderId="3" xfId="0" applyNumberFormat="1" applyFont="1" applyBorder="1"/>
    <xf numFmtId="164" fontId="2" fillId="0" borderId="3" xfId="3" applyFont="1" applyBorder="1"/>
    <xf numFmtId="164" fontId="2" fillId="4" borderId="0" xfId="3" applyFont="1" applyFill="1"/>
    <xf numFmtId="164" fontId="2" fillId="0" borderId="0" xfId="0" applyNumberFormat="1" applyFont="1"/>
    <xf numFmtId="164" fontId="0" fillId="4" borderId="0" xfId="3" applyFont="1" applyFill="1"/>
    <xf numFmtId="0" fontId="7" fillId="0" borderId="0" xfId="0" applyFont="1" applyAlignment="1">
      <alignment horizontal="left"/>
    </xf>
    <xf numFmtId="0" fontId="7" fillId="0" borderId="0" xfId="0" applyFont="1"/>
    <xf numFmtId="164" fontId="1" fillId="0" borderId="0" xfId="3"/>
    <xf numFmtId="0" fontId="7" fillId="0" borderId="0" xfId="0" applyFont="1" applyAlignment="1">
      <alignment horizontal="left"/>
    </xf>
    <xf numFmtId="166" fontId="0" fillId="4" borderId="0" xfId="1" applyNumberFormat="1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0" fillId="4" borderId="0" xfId="0" applyFill="1"/>
    <xf numFmtId="0" fontId="8" fillId="0" borderId="0" xfId="0" applyFont="1" applyAlignment="1">
      <alignment horizontal="left"/>
    </xf>
    <xf numFmtId="166" fontId="7" fillId="0" borderId="0" xfId="0" applyNumberFormat="1" applyFont="1"/>
    <xf numFmtId="0" fontId="8" fillId="0" borderId="0" xfId="0" applyFont="1"/>
    <xf numFmtId="10" fontId="0" fillId="0" borderId="0" xfId="2" applyNumberFormat="1" applyFont="1" applyAlignment="1">
      <alignment horizontal="center" vertical="center"/>
    </xf>
    <xf numFmtId="166" fontId="2" fillId="4" borderId="0" xfId="0" applyNumberFormat="1" applyFont="1" applyFill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166" fontId="0" fillId="4" borderId="0" xfId="0" applyNumberFormat="1" applyFill="1"/>
    <xf numFmtId="164" fontId="2" fillId="4" borderId="0" xfId="0" applyNumberFormat="1" applyFont="1" applyFill="1"/>
    <xf numFmtId="166" fontId="2" fillId="0" borderId="4" xfId="0" applyNumberFormat="1" applyFont="1" applyBorder="1"/>
    <xf numFmtId="164" fontId="2" fillId="0" borderId="4" xfId="3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68" fontId="7" fillId="0" borderId="0" xfId="3" applyNumberFormat="1" applyFont="1" applyAlignment="1">
      <alignment horizontal="center" vertical="center"/>
    </xf>
    <xf numFmtId="168" fontId="7" fillId="0" borderId="12" xfId="3" applyNumberFormat="1" applyFont="1" applyBorder="1" applyAlignment="1">
      <alignment horizontal="center" vertical="center"/>
    </xf>
    <xf numFmtId="168" fontId="7" fillId="0" borderId="13" xfId="3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168" fontId="7" fillId="0" borderId="14" xfId="3" applyNumberFormat="1" applyFont="1" applyBorder="1" applyAlignment="1">
      <alignment horizontal="center" vertical="center"/>
    </xf>
    <xf numFmtId="164" fontId="7" fillId="0" borderId="15" xfId="3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168" fontId="7" fillId="0" borderId="17" xfId="3" applyNumberFormat="1" applyFont="1" applyBorder="1" applyAlignment="1">
      <alignment horizontal="center" vertical="center"/>
    </xf>
    <xf numFmtId="164" fontId="7" fillId="0" borderId="14" xfId="3" applyFont="1" applyBorder="1" applyAlignment="1">
      <alignment horizontal="center" vertical="center"/>
    </xf>
    <xf numFmtId="168" fontId="7" fillId="0" borderId="15" xfId="3" applyNumberFormat="1" applyFont="1" applyBorder="1" applyAlignment="1">
      <alignment horizontal="center" vertical="center"/>
    </xf>
    <xf numFmtId="164" fontId="0" fillId="0" borderId="18" xfId="3" applyFont="1" applyBorder="1" applyAlignment="1">
      <alignment horizontal="center" vertical="center"/>
    </xf>
    <xf numFmtId="168" fontId="7" fillId="0" borderId="1" xfId="3" applyNumberFormat="1" applyFont="1" applyBorder="1" applyAlignment="1">
      <alignment horizontal="center" vertical="center"/>
    </xf>
    <xf numFmtId="164" fontId="7" fillId="0" borderId="1" xfId="3" applyFont="1" applyBorder="1" applyAlignment="1">
      <alignment horizontal="center" vertical="center"/>
    </xf>
    <xf numFmtId="168" fontId="7" fillId="0" borderId="19" xfId="3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68" fontId="8" fillId="0" borderId="22" xfId="0" applyNumberFormat="1" applyFont="1" applyBorder="1" applyAlignment="1">
      <alignment horizontal="center" vertical="center"/>
    </xf>
    <xf numFmtId="168" fontId="8" fillId="0" borderId="23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68" fontId="7" fillId="0" borderId="24" xfId="0" applyNumberFormat="1" applyFont="1" applyBorder="1" applyAlignment="1">
      <alignment horizontal="center" vertical="center"/>
    </xf>
    <xf numFmtId="168" fontId="7" fillId="0" borderId="25" xfId="0" applyNumberFormat="1" applyFont="1" applyBorder="1" applyAlignment="1">
      <alignment horizontal="center" vertical="center"/>
    </xf>
    <xf numFmtId="168" fontId="7" fillId="0" borderId="26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8" fontId="7" fillId="0" borderId="14" xfId="0" applyNumberFormat="1" applyFont="1" applyBorder="1" applyAlignment="1">
      <alignment horizontal="center" vertical="center"/>
    </xf>
    <xf numFmtId="168" fontId="0" fillId="0" borderId="27" xfId="3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6" fontId="7" fillId="0" borderId="14" xfId="1" applyNumberFormat="1" applyFont="1" applyBorder="1" applyAlignment="1">
      <alignment horizontal="center" vertical="center"/>
    </xf>
    <xf numFmtId="168" fontId="0" fillId="0" borderId="1" xfId="3" applyNumberFormat="1" applyFont="1" applyBorder="1" applyAlignment="1">
      <alignment horizontal="center" vertical="center"/>
    </xf>
    <xf numFmtId="168" fontId="7" fillId="0" borderId="15" xfId="0" applyNumberFormat="1" applyFont="1" applyBorder="1" applyAlignment="1">
      <alignment horizontal="center" vertical="center"/>
    </xf>
    <xf numFmtId="168" fontId="0" fillId="0" borderId="0" xfId="0" applyNumberFormat="1"/>
    <xf numFmtId="0" fontId="8" fillId="0" borderId="2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8" fontId="8" fillId="0" borderId="28" xfId="0" applyNumberFormat="1" applyFont="1" applyBorder="1" applyAlignment="1">
      <alignment horizontal="center" vertical="center"/>
    </xf>
    <xf numFmtId="168" fontId="0" fillId="0" borderId="0" xfId="3" applyNumberFormat="1" applyFont="1" applyBorder="1" applyAlignment="1">
      <alignment horizontal="center" vertical="center"/>
    </xf>
    <xf numFmtId="0" fontId="0" fillId="0" borderId="0" xfId="0" applyBorder="1"/>
  </cellXfs>
  <cellStyles count="4">
    <cellStyle name="Currency" xfId="1" builtinId="4"/>
    <cellStyle name="Currency [0]" xfId="3" builtinId="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1261546</xdr:colOff>
      <xdr:row>53</xdr:row>
      <xdr:rowOff>180562</xdr:rowOff>
    </xdr:from>
    <xdr:to>
      <xdr:col>0</xdr:col>
      <xdr:colOff>3329800</xdr:colOff>
      <xdr:row>55</xdr:row>
      <xdr:rowOff>34778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5D4AAEE-5E2D-4253-BEC5-E3999CDDCD3D}"/>
            </a:ext>
          </a:extLst>
        </xdr:cNvPr>
        <xdr:cNvSpPr txBox="1">
          <a:spLocks noChangeArrowheads="1"/>
        </xdr:cNvSpPr>
      </xdr:nvSpPr>
      <xdr:spPr bwMode="auto">
        <a:xfrm>
          <a:off x="1261546" y="10395906"/>
          <a:ext cx="2068254" cy="23871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ORIGINAL FIRMADO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7</xdr:col>
      <xdr:colOff>162621</xdr:colOff>
      <xdr:row>0</xdr:row>
      <xdr:rowOff>162623</xdr:rowOff>
    </xdr:from>
    <xdr:to>
      <xdr:col>8</xdr:col>
      <xdr:colOff>216862</xdr:colOff>
      <xdr:row>5</xdr:row>
      <xdr:rowOff>109655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F4296-796B-4E40-BE71-B0C47752A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8771" y="162623"/>
          <a:ext cx="911492" cy="899532"/>
        </a:xfrm>
        <a:prstGeom prst="rect">
          <a:avLst/>
        </a:prstGeom>
      </xdr:spPr>
    </xdr:pic>
    <xdr:clientData/>
  </xdr:twoCellAnchor>
  <xdr:twoCellAnchor editAs="oneCell">
    <xdr:from>
      <xdr:col>0</xdr:col>
      <xdr:colOff>278780</xdr:colOff>
      <xdr:row>0</xdr:row>
      <xdr:rowOff>162623</xdr:rowOff>
    </xdr:from>
    <xdr:to>
      <xdr:col>0</xdr:col>
      <xdr:colOff>1192595</xdr:colOff>
      <xdr:row>5</xdr:row>
      <xdr:rowOff>109655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729A912-46DB-427F-B262-B8E66B9BB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780" y="162623"/>
          <a:ext cx="913815" cy="899532"/>
        </a:xfrm>
        <a:prstGeom prst="rect">
          <a:avLst/>
        </a:prstGeom>
      </xdr:spPr>
    </xdr:pic>
    <xdr:clientData/>
  </xdr:twoCellAnchor>
  <xdr:twoCellAnchor>
    <xdr:from>
      <xdr:col>4</xdr:col>
      <xdr:colOff>247876</xdr:colOff>
      <xdr:row>53</xdr:row>
      <xdr:rowOff>186417</xdr:rowOff>
    </xdr:from>
    <xdr:to>
      <xdr:col>8</xdr:col>
      <xdr:colOff>52851</xdr:colOff>
      <xdr:row>55</xdr:row>
      <xdr:rowOff>40633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E8A239E4-36E5-4873-B84C-AD0EE1674E8B}"/>
            </a:ext>
          </a:extLst>
        </xdr:cNvPr>
        <xdr:cNvSpPr txBox="1">
          <a:spLocks noChangeArrowheads="1"/>
        </xdr:cNvSpPr>
      </xdr:nvSpPr>
      <xdr:spPr bwMode="auto">
        <a:xfrm>
          <a:off x="5691982" y="10401761"/>
          <a:ext cx="2068254" cy="23871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ORIGINAL FIRMADO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27</xdr:row>
      <xdr:rowOff>19050</xdr:rowOff>
    </xdr:from>
    <xdr:to>
      <xdr:col>0</xdr:col>
      <xdr:colOff>2061569</xdr:colOff>
      <xdr:row>29</xdr:row>
      <xdr:rowOff>104231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089257B-5889-4268-B1A6-35DDF16178E5}"/>
            </a:ext>
          </a:extLst>
        </xdr:cNvPr>
        <xdr:cNvSpPr txBox="1">
          <a:spLocks noChangeArrowheads="1"/>
        </xdr:cNvSpPr>
      </xdr:nvSpPr>
      <xdr:spPr bwMode="auto">
        <a:xfrm>
          <a:off x="1047750" y="5505450"/>
          <a:ext cx="1013819" cy="4661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ORIGINAL FIRMADO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133350</xdr:colOff>
      <xdr:row>27</xdr:row>
      <xdr:rowOff>104775</xdr:rowOff>
    </xdr:from>
    <xdr:to>
      <xdr:col>8</xdr:col>
      <xdr:colOff>528044</xdr:colOff>
      <xdr:row>29</xdr:row>
      <xdr:rowOff>189956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4B322B3C-456A-4446-97F7-643E08539A89}"/>
            </a:ext>
          </a:extLst>
        </xdr:cNvPr>
        <xdr:cNvSpPr txBox="1">
          <a:spLocks noChangeArrowheads="1"/>
        </xdr:cNvSpPr>
      </xdr:nvSpPr>
      <xdr:spPr bwMode="auto">
        <a:xfrm>
          <a:off x="6276975" y="5591175"/>
          <a:ext cx="966194" cy="4661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ORIGINAL FIRMADO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8</xdr:col>
      <xdr:colOff>762000</xdr:colOff>
      <xdr:row>1</xdr:row>
      <xdr:rowOff>38100</xdr:rowOff>
    </xdr:from>
    <xdr:ext cx="913815" cy="876300"/>
    <xdr:pic>
      <xdr:nvPicPr>
        <xdr:cNvPr id="4" name="Imagen 3">
          <a:extLst>
            <a:ext uri="{FF2B5EF4-FFF2-40B4-BE49-F238E27FC236}">
              <a16:creationId xmlns:a16="http://schemas.microsoft.com/office/drawing/2014/main" id="{C6073A81-2E0E-4BA6-B47B-ACEBCEDF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25" y="228600"/>
          <a:ext cx="913815" cy="876300"/>
        </a:xfrm>
        <a:prstGeom prst="rect">
          <a:avLst/>
        </a:prstGeom>
      </xdr:spPr>
    </xdr:pic>
    <xdr:clientData/>
  </xdr:oneCellAnchor>
  <xdr:oneCellAnchor>
    <xdr:from>
      <xdr:col>0</xdr:col>
      <xdr:colOff>66675</xdr:colOff>
      <xdr:row>1</xdr:row>
      <xdr:rowOff>28574</xdr:rowOff>
    </xdr:from>
    <xdr:ext cx="824420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FF6D1902-3C63-4F14-A3C8-A03F3A7BA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19074"/>
          <a:ext cx="824420" cy="790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1218314</xdr:colOff>
      <xdr:row>43</xdr:row>
      <xdr:rowOff>110756</xdr:rowOff>
    </xdr:from>
    <xdr:to>
      <xdr:col>1</xdr:col>
      <xdr:colOff>752207</xdr:colOff>
      <xdr:row>46</xdr:row>
      <xdr:rowOff>21430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6AF443-AEAF-4A31-8B99-221F20561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314" y="8578481"/>
          <a:ext cx="895968" cy="482174"/>
        </a:xfrm>
        <a:prstGeom prst="rect">
          <a:avLst/>
        </a:prstGeom>
      </xdr:spPr>
    </xdr:pic>
    <xdr:clientData/>
  </xdr:twoCellAnchor>
  <xdr:twoCellAnchor editAs="oneCell">
    <xdr:from>
      <xdr:col>6</xdr:col>
      <xdr:colOff>971993</xdr:colOff>
      <xdr:row>43</xdr:row>
      <xdr:rowOff>119173</xdr:rowOff>
    </xdr:from>
    <xdr:to>
      <xdr:col>8</xdr:col>
      <xdr:colOff>514945</xdr:colOff>
      <xdr:row>46</xdr:row>
      <xdr:rowOff>29847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73CB98-219B-4658-94D0-24CDB62F6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2268" y="8586898"/>
          <a:ext cx="895502" cy="482174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0</xdr:row>
      <xdr:rowOff>97366</xdr:rowOff>
    </xdr:from>
    <xdr:to>
      <xdr:col>9</xdr:col>
      <xdr:colOff>382058</xdr:colOff>
      <xdr:row>6</xdr:row>
      <xdr:rowOff>111335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01B49F-50B5-47A3-AF94-C6070B21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97366"/>
          <a:ext cx="1201208" cy="1156969"/>
        </a:xfrm>
        <a:prstGeom prst="rect">
          <a:avLst/>
        </a:prstGeom>
      </xdr:spPr>
    </xdr:pic>
    <xdr:clientData/>
  </xdr:twoCellAnchor>
  <xdr:twoCellAnchor editAs="oneCell">
    <xdr:from>
      <xdr:col>0</xdr:col>
      <xdr:colOff>162984</xdr:colOff>
      <xdr:row>0</xdr:row>
      <xdr:rowOff>120650</xdr:rowOff>
    </xdr:from>
    <xdr:to>
      <xdr:col>1</xdr:col>
      <xdr:colOff>4234</xdr:colOff>
      <xdr:row>6</xdr:row>
      <xdr:rowOff>134619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B29A01-8A3D-4C30-B294-3A1AFD0DD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984" y="120650"/>
          <a:ext cx="1203325" cy="11569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124230</xdr:colOff>
          <xdr:row>25</xdr:row>
          <xdr:rowOff>174146</xdr:rowOff>
        </xdr:from>
        <xdr:to>
          <xdr:col>10</xdr:col>
          <xdr:colOff>1062442</xdr:colOff>
          <xdr:row>29</xdr:row>
          <xdr:rowOff>176529</xdr:rowOff>
        </xdr:to>
        <xdr:pic>
          <xdr:nvPicPr>
            <xdr:cNvPr id="2" name="Imagen 6">
              <a:extLst>
                <a:ext uri="{FF2B5EF4-FFF2-40B4-BE49-F238E27FC236}">
                  <a16:creationId xmlns:a16="http://schemas.microsoft.com/office/drawing/2014/main" id="{A208A9BE-7911-44F6-B284-CC99D46042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3]ESTADO INTEGRAL DE RESULTADOS'!$A$24:$J$27" spid="_x0000_s409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7864" r="7990" b="19719"/>
            <a:stretch>
              <a:fillRect/>
            </a:stretch>
          </xdr:blipFill>
          <xdr:spPr bwMode="auto">
            <a:xfrm>
              <a:off x="3381780" y="6155846"/>
              <a:ext cx="8539162" cy="7643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3</xdr:col>
      <xdr:colOff>713753</xdr:colOff>
      <xdr:row>30</xdr:row>
      <xdr:rowOff>47002</xdr:rowOff>
    </xdr:from>
    <xdr:to>
      <xdr:col>4</xdr:col>
      <xdr:colOff>589365</xdr:colOff>
      <xdr:row>32</xdr:row>
      <xdr:rowOff>121345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21E6F119-3B10-4157-8D36-A2AEDEBDA3FA}"/>
            </a:ext>
          </a:extLst>
        </xdr:cNvPr>
        <xdr:cNvSpPr txBox="1">
          <a:spLocks noChangeArrowheads="1"/>
        </xdr:cNvSpPr>
      </xdr:nvSpPr>
      <xdr:spPr bwMode="auto">
        <a:xfrm>
          <a:off x="3971303" y="6981202"/>
          <a:ext cx="885262" cy="45534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ORIGINAL FIRMADO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678748</xdr:colOff>
      <xdr:row>30</xdr:row>
      <xdr:rowOff>47214</xdr:rowOff>
    </xdr:from>
    <xdr:to>
      <xdr:col>10</xdr:col>
      <xdr:colOff>242643</xdr:colOff>
      <xdr:row>32</xdr:row>
      <xdr:rowOff>121557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34B95581-964B-4434-95A4-48CF39458747}"/>
            </a:ext>
          </a:extLst>
        </xdr:cNvPr>
        <xdr:cNvSpPr txBox="1">
          <a:spLocks noChangeArrowheads="1"/>
        </xdr:cNvSpPr>
      </xdr:nvSpPr>
      <xdr:spPr bwMode="auto">
        <a:xfrm>
          <a:off x="9751311" y="7000464"/>
          <a:ext cx="897395" cy="45534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CO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ORIGINAL FIRMADO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342900</xdr:colOff>
      <xdr:row>0</xdr:row>
      <xdr:rowOff>171450</xdr:rowOff>
    </xdr:from>
    <xdr:to>
      <xdr:col>1</xdr:col>
      <xdr:colOff>1256715</xdr:colOff>
      <xdr:row>5</xdr:row>
      <xdr:rowOff>95250</xdr:rowOff>
    </xdr:to>
    <xdr:pic>
      <xdr:nvPicPr>
        <xdr:cNvPr id="5" name="Imagen 9">
          <a:extLst>
            <a:ext uri="{FF2B5EF4-FFF2-40B4-BE49-F238E27FC236}">
              <a16:creationId xmlns:a16="http://schemas.microsoft.com/office/drawing/2014/main" id="{A956026E-0EF9-4FA6-9DE6-7D4A4CA70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900" y="171450"/>
          <a:ext cx="913815" cy="876300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0</xdr:row>
      <xdr:rowOff>142875</xdr:rowOff>
    </xdr:from>
    <xdr:to>
      <xdr:col>11</xdr:col>
      <xdr:colOff>923340</xdr:colOff>
      <xdr:row>5</xdr:row>
      <xdr:rowOff>66675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9F13D880-2FB8-4744-BEF4-E85947E48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3875" y="142875"/>
          <a:ext cx="913815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Flujos%20de%20Efectiv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o/Documents/QUINTO%20SEMESTRE/BATIFRUIT&#180;S%20S.A.S/ESTADOS/Estado%20de%20Flujo%20de%20Efectivo%202018%20-%20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vanny%20romero/Documents/batifruit's/EMPRESA/Modelo%20para%20hacer%20los%20estados%20ahorita/ESTADOS%20FINANCIEROS%20COMPARATIVOS%201&#176;%20A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-diciembre"/>
      <sheetName val="Enero-junio"/>
      <sheetName val="ESTADO DE FLUJOS DE EFECTVO"/>
      <sheetName val="ESTADO DE FLUJOS DE EFECTVO (2)"/>
    </sheetNames>
    <sheetDataSet>
      <sheetData sheetId="0"/>
      <sheetData sheetId="1"/>
      <sheetData sheetId="2">
        <row r="10">
          <cell r="E10">
            <v>968508018</v>
          </cell>
          <cell r="G10">
            <v>123604191</v>
          </cell>
        </row>
        <row r="12">
          <cell r="E12">
            <v>4029560837</v>
          </cell>
          <cell r="G12">
            <v>1913969778</v>
          </cell>
        </row>
        <row r="13">
          <cell r="E13">
            <v>-2766293872</v>
          </cell>
          <cell r="G13">
            <v>-1349358971</v>
          </cell>
        </row>
        <row r="14">
          <cell r="E14">
            <v>1216613</v>
          </cell>
          <cell r="G14">
            <v>649738</v>
          </cell>
        </row>
        <row r="15">
          <cell r="E15">
            <v>-310545412</v>
          </cell>
          <cell r="G15">
            <v>-181570015</v>
          </cell>
        </row>
        <row r="16">
          <cell r="E16">
            <v>-26167755</v>
          </cell>
          <cell r="G16">
            <v>-258461849</v>
          </cell>
        </row>
        <row r="17">
          <cell r="E17">
            <v>40737607</v>
          </cell>
          <cell r="G17">
            <v>-1624490</v>
          </cell>
        </row>
        <row r="18">
          <cell r="E18">
            <v>-5909762</v>
          </cell>
          <cell r="G18">
            <v>-431246377</v>
          </cell>
        </row>
        <row r="20">
          <cell r="E20">
            <v>-36617500</v>
          </cell>
          <cell r="G20">
            <v>-902300000</v>
          </cell>
        </row>
        <row r="21">
          <cell r="E21">
            <v>13437500</v>
          </cell>
          <cell r="G21">
            <v>-38704</v>
          </cell>
        </row>
        <row r="22">
          <cell r="E22">
            <v>1030344</v>
          </cell>
          <cell r="G22">
            <v>465421764</v>
          </cell>
        </row>
        <row r="23">
          <cell r="E23">
            <v>16239894</v>
          </cell>
          <cell r="G23">
            <v>5670563</v>
          </cell>
        </row>
        <row r="26">
          <cell r="E26">
            <v>-56824987.364563301</v>
          </cell>
          <cell r="G26">
            <v>263517447</v>
          </cell>
        </row>
        <row r="28">
          <cell r="E28">
            <v>0</v>
          </cell>
          <cell r="G28">
            <v>170000000</v>
          </cell>
        </row>
        <row r="29">
          <cell r="E29">
            <v>-46847516.364563301</v>
          </cell>
          <cell r="G29">
            <v>114545584</v>
          </cell>
        </row>
        <row r="30">
          <cell r="E30">
            <v>-9977471</v>
          </cell>
          <cell r="G30">
            <v>-21028137</v>
          </cell>
        </row>
        <row r="33">
          <cell r="E33">
            <v>905773268.63543665</v>
          </cell>
          <cell r="G33">
            <v>-44124739</v>
          </cell>
        </row>
        <row r="34">
          <cell r="E34">
            <v>683301631</v>
          </cell>
          <cell r="G34">
            <v>727426370</v>
          </cell>
        </row>
        <row r="35">
          <cell r="E35">
            <v>1589074899.6354365</v>
          </cell>
          <cell r="G35">
            <v>683301631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Enero - Marzo"/>
      <sheetName val="Hoja de trabajo Marzo - Junio"/>
      <sheetName val="Estado de Flujo de Efectivo"/>
    </sheetNames>
    <sheetDataSet>
      <sheetData sheetId="0">
        <row r="7">
          <cell r="L7">
            <v>304552423</v>
          </cell>
        </row>
        <row r="49">
          <cell r="M49">
            <v>679616269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 FINANCIERA "/>
      <sheetName val="ESTADO INTEGRAL DE RESULTADOS"/>
      <sheetName val="INDICADORES FINANCIER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5157F-97C2-4CEF-93A1-5EFC6E426B9A}">
  <dimension ref="A1:N57"/>
  <sheetViews>
    <sheetView showGridLines="0" showRowColHeaders="0" tabSelected="1" zoomScale="90" zoomScaleNormal="100" workbookViewId="0">
      <selection activeCell="O8" sqref="O8"/>
    </sheetView>
  </sheetViews>
  <sheetFormatPr defaultColWidth="11.42578125" defaultRowHeight="15" x14ac:dyDescent="0.25"/>
  <cols>
    <col min="1" max="1" width="52.7109375" bestFit="1" customWidth="1"/>
    <col min="2" max="2" width="5.42578125" bestFit="1" customWidth="1"/>
    <col min="3" max="3" width="15.28515625" bestFit="1" customWidth="1"/>
    <col min="4" max="4" width="5.5703125" customWidth="1"/>
    <col min="5" max="5" width="13.7109375" bestFit="1" customWidth="1"/>
    <col min="6" max="6" width="5.85546875" customWidth="1"/>
    <col min="7" max="7" width="1.140625" customWidth="1"/>
    <col min="8" max="8" width="12.85546875" customWidth="1"/>
    <col min="9" max="9" width="7" bestFit="1" customWidth="1"/>
    <col min="10" max="10" width="15.28515625" bestFit="1" customWidth="1"/>
    <col min="11" max="11" width="14.42578125" bestFit="1" customWidth="1"/>
    <col min="12" max="12" width="15" hidden="1" customWidth="1"/>
    <col min="13" max="14" width="13.28515625" hidden="1" customWidth="1"/>
  </cols>
  <sheetData>
    <row r="1" spans="1:14" x14ac:dyDescent="0.25">
      <c r="A1" s="51" t="s">
        <v>9</v>
      </c>
      <c r="B1" s="51"/>
      <c r="C1" s="51"/>
      <c r="D1" s="51"/>
      <c r="E1" s="51"/>
      <c r="F1" s="51"/>
      <c r="G1" s="51"/>
      <c r="H1" s="51"/>
      <c r="I1" s="51"/>
    </row>
    <row r="2" spans="1:14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14" x14ac:dyDescent="0.25">
      <c r="A3" s="51" t="s">
        <v>44</v>
      </c>
      <c r="B3" s="51"/>
      <c r="C3" s="51"/>
      <c r="D3" s="51"/>
      <c r="E3" s="51"/>
      <c r="F3" s="51"/>
      <c r="G3" s="51"/>
      <c r="H3" s="51"/>
      <c r="I3" s="51"/>
    </row>
    <row r="4" spans="1:14" x14ac:dyDescent="0.25">
      <c r="A4" s="51" t="s">
        <v>43</v>
      </c>
      <c r="B4" s="51"/>
      <c r="C4" s="51"/>
      <c r="D4" s="51"/>
      <c r="E4" s="51"/>
      <c r="F4" s="51"/>
      <c r="G4" s="51"/>
      <c r="H4" s="51"/>
      <c r="I4" s="51"/>
    </row>
    <row r="5" spans="1:14" x14ac:dyDescent="0.25">
      <c r="A5" s="51" t="s">
        <v>37</v>
      </c>
      <c r="B5" s="51"/>
      <c r="C5" s="51"/>
      <c r="D5" s="51"/>
      <c r="E5" s="51"/>
      <c r="F5" s="51"/>
      <c r="G5" s="51"/>
      <c r="H5" s="51"/>
      <c r="I5" s="51"/>
    </row>
    <row r="6" spans="1:14" x14ac:dyDescent="0.25">
      <c r="F6" s="1"/>
    </row>
    <row r="7" spans="1:14" x14ac:dyDescent="0.25">
      <c r="F7" s="1"/>
    </row>
    <row r="8" spans="1:14" x14ac:dyDescent="0.25">
      <c r="F8" s="1"/>
    </row>
    <row r="9" spans="1:14" x14ac:dyDescent="0.25">
      <c r="A9" s="4" t="s">
        <v>10</v>
      </c>
      <c r="B9" s="38" t="s">
        <v>1</v>
      </c>
      <c r="C9" s="5" t="s">
        <v>42</v>
      </c>
      <c r="D9" s="1"/>
      <c r="E9" s="5" t="s">
        <v>36</v>
      </c>
      <c r="F9" s="6"/>
      <c r="H9" s="36" t="s">
        <v>2</v>
      </c>
      <c r="I9" s="36" t="s">
        <v>3</v>
      </c>
    </row>
    <row r="10" spans="1:14" x14ac:dyDescent="0.25">
      <c r="A10" s="9" t="s">
        <v>11</v>
      </c>
      <c r="B10" s="22">
        <v>10</v>
      </c>
      <c r="C10" s="39">
        <f>(1589438900-364000)/1000</f>
        <v>1589074.9</v>
      </c>
      <c r="D10" s="43">
        <f>C10/$C$22*100%</f>
        <v>0.48503243367974835</v>
      </c>
      <c r="E10" s="12">
        <f>683301319/1000</f>
        <v>683301.31900000002</v>
      </c>
      <c r="F10" s="45">
        <f>+E10/$E$22*100%</f>
        <v>0.27159647435482109</v>
      </c>
      <c r="G10" s="14"/>
      <c r="H10" s="3">
        <f>C10-E10</f>
        <v>905773.58099999989</v>
      </c>
      <c r="I10" s="43">
        <f t="shared" ref="I10:I15" si="0">+H10/E10*100%</f>
        <v>1.3255844176118148</v>
      </c>
      <c r="J10" s="3"/>
    </row>
    <row r="11" spans="1:14" x14ac:dyDescent="0.25">
      <c r="A11" t="s">
        <v>12</v>
      </c>
      <c r="B11" s="7">
        <v>11</v>
      </c>
      <c r="C11" s="12">
        <f>160778032/1000</f>
        <v>160778.03200000001</v>
      </c>
      <c r="D11" s="43">
        <f t="shared" ref="D11:D14" si="1">C11/$C$22*100%</f>
        <v>4.9074187845519722E-2</v>
      </c>
      <c r="E11" s="12">
        <f>128333577/1000</f>
        <v>128333.577</v>
      </c>
      <c r="F11" s="45">
        <f>+E11/$E$22*100%</f>
        <v>5.1009629405593108E-2</v>
      </c>
      <c r="G11" s="14"/>
      <c r="H11" s="3">
        <f t="shared" ref="H11:H15" si="2">C11-E11</f>
        <v>32444.455000000002</v>
      </c>
      <c r="I11" s="43">
        <f t="shared" si="0"/>
        <v>0.25281345504769964</v>
      </c>
      <c r="J11" s="3"/>
    </row>
    <row r="12" spans="1:14" x14ac:dyDescent="0.25">
      <c r="A12" t="s">
        <v>20</v>
      </c>
      <c r="B12" s="7">
        <v>12</v>
      </c>
      <c r="C12" s="12">
        <f>174741855/1000</f>
        <v>174741.85500000001</v>
      </c>
      <c r="D12" s="43">
        <f t="shared" si="1"/>
        <v>5.3336357648317088E-2</v>
      </c>
      <c r="E12" s="12">
        <f>459111556/1000</f>
        <v>459111.55599999998</v>
      </c>
      <c r="F12" s="45">
        <f>+E12/$E$22*100%</f>
        <v>0.18248622749278784</v>
      </c>
      <c r="G12" s="14"/>
      <c r="H12" s="3">
        <f t="shared" si="2"/>
        <v>-284369.701</v>
      </c>
      <c r="I12" s="43">
        <f t="shared" si="0"/>
        <v>-0.61939129452014929</v>
      </c>
      <c r="J12" s="3"/>
      <c r="M12" s="22" t="s">
        <v>49</v>
      </c>
      <c r="N12" s="22" t="s">
        <v>48</v>
      </c>
    </row>
    <row r="13" spans="1:14" x14ac:dyDescent="0.25">
      <c r="A13" t="s">
        <v>33</v>
      </c>
      <c r="B13" s="7">
        <v>13</v>
      </c>
      <c r="C13" s="12">
        <f>7413000/1000</f>
        <v>7413</v>
      </c>
      <c r="D13" s="43">
        <f t="shared" si="1"/>
        <v>2.2626658006290167E-3</v>
      </c>
      <c r="E13" s="12">
        <f>8442000/1000</f>
        <v>8442</v>
      </c>
      <c r="F13" s="45">
        <f>+E13/$E$22*100%</f>
        <v>3.3554997959888318E-3</v>
      </c>
      <c r="G13" s="14"/>
      <c r="H13" s="3">
        <f t="shared" si="2"/>
        <v>-1029</v>
      </c>
      <c r="I13" s="43">
        <f t="shared" si="0"/>
        <v>-0.12189054726368159</v>
      </c>
      <c r="J13" s="3"/>
      <c r="L13" t="s">
        <v>45</v>
      </c>
      <c r="M13" s="16">
        <v>16645929</v>
      </c>
      <c r="N13" s="16"/>
    </row>
    <row r="14" spans="1:14" x14ac:dyDescent="0.25">
      <c r="A14" t="s">
        <v>19</v>
      </c>
      <c r="B14" s="7">
        <v>14</v>
      </c>
      <c r="C14" s="34">
        <f>(228118251-13878562)/1000</f>
        <v>214239.68900000001</v>
      </c>
      <c r="D14" s="43">
        <f t="shared" si="1"/>
        <v>6.5392259198394254E-2</v>
      </c>
      <c r="E14" s="34">
        <f>120543256/1000</f>
        <v>120543.25599999999</v>
      </c>
      <c r="F14" s="45">
        <f>+E14/$E$22*100%</f>
        <v>4.7913156943358147E-2</v>
      </c>
      <c r="G14" s="23"/>
      <c r="H14" s="3">
        <f t="shared" si="2"/>
        <v>93696.433000000019</v>
      </c>
      <c r="I14" s="43">
        <f t="shared" si="0"/>
        <v>0.77728473669236231</v>
      </c>
      <c r="J14" s="3"/>
      <c r="K14" s="3"/>
      <c r="L14" t="s">
        <v>46</v>
      </c>
      <c r="M14" s="16">
        <v>8459190</v>
      </c>
      <c r="N14" s="16"/>
    </row>
    <row r="15" spans="1:14" x14ac:dyDescent="0.25">
      <c r="A15" s="4" t="s">
        <v>13</v>
      </c>
      <c r="B15" s="7"/>
      <c r="C15" s="17">
        <f>+SUM(C10:C14)</f>
        <v>2146247.4759999998</v>
      </c>
      <c r="D15" s="43"/>
      <c r="E15" s="17">
        <f>+SUM(E10:E14)</f>
        <v>1399731.7080000001</v>
      </c>
      <c r="F15" s="46"/>
      <c r="G15" s="14"/>
      <c r="H15" s="3">
        <f t="shared" si="2"/>
        <v>746515.76799999969</v>
      </c>
      <c r="I15" s="43">
        <f t="shared" si="0"/>
        <v>0.53332775397840715</v>
      </c>
      <c r="J15" s="3"/>
      <c r="L15" t="s">
        <v>47</v>
      </c>
      <c r="M15" s="16"/>
      <c r="N15" s="16">
        <v>13878562</v>
      </c>
    </row>
    <row r="16" spans="1:14" x14ac:dyDescent="0.25">
      <c r="B16" s="7"/>
      <c r="C16" s="8"/>
      <c r="D16" s="43"/>
      <c r="E16" s="8"/>
      <c r="F16" s="46"/>
      <c r="G16" s="14"/>
      <c r="I16" s="48"/>
      <c r="J16" s="3"/>
      <c r="L16" t="s">
        <v>50</v>
      </c>
      <c r="M16" s="16"/>
      <c r="N16" s="16">
        <f>+M13+M14-N15</f>
        <v>11226557</v>
      </c>
    </row>
    <row r="17" spans="1:12" x14ac:dyDescent="0.25">
      <c r="A17" s="4" t="s">
        <v>21</v>
      </c>
      <c r="B17" s="7"/>
      <c r="C17" s="8"/>
      <c r="D17" s="43"/>
      <c r="E17" s="8"/>
      <c r="F17" s="46"/>
      <c r="G17" s="14"/>
      <c r="I17" s="48"/>
      <c r="J17" s="3"/>
    </row>
    <row r="18" spans="1:12" x14ac:dyDescent="0.25">
      <c r="A18" t="s">
        <v>22</v>
      </c>
      <c r="B18" s="7">
        <v>15</v>
      </c>
      <c r="C18" s="10">
        <f>1128576013/1000</f>
        <v>1128576.013</v>
      </c>
      <c r="D18" s="43">
        <f t="shared" ref="D18:D19" si="3">C18/$C$22*100%</f>
        <v>0.3444746186463441</v>
      </c>
      <c r="E18" s="8">
        <f>1114437913/1000</f>
        <v>1114437.9129999999</v>
      </c>
      <c r="F18" s="45">
        <f>+E18/$E$22*100%</f>
        <v>0.44296330131647937</v>
      </c>
      <c r="G18" s="14"/>
      <c r="H18" s="3">
        <f t="shared" ref="H18:H19" si="4">C18-E18</f>
        <v>14138.100000000093</v>
      </c>
      <c r="I18" s="43">
        <f>+H18/E18*100%</f>
        <v>1.2686305656939808E-2</v>
      </c>
      <c r="J18" s="3"/>
    </row>
    <row r="19" spans="1:12" x14ac:dyDescent="0.25">
      <c r="A19" s="9" t="s">
        <v>23</v>
      </c>
      <c r="B19" s="7">
        <v>16</v>
      </c>
      <c r="C19" s="25">
        <f>1400000/1000</f>
        <v>1400</v>
      </c>
      <c r="D19" s="43">
        <f t="shared" si="3"/>
        <v>4.2732120880623547E-4</v>
      </c>
      <c r="E19" s="25">
        <f>1700000/1000</f>
        <v>1700</v>
      </c>
      <c r="F19" s="45">
        <f>+E19/$E$22*100%</f>
        <v>6.7571069097145393E-4</v>
      </c>
      <c r="G19" s="14"/>
      <c r="H19" s="3">
        <f t="shared" si="4"/>
        <v>-300</v>
      </c>
      <c r="I19" s="43">
        <f>+H19/E19*100%</f>
        <v>-0.17647058823529413</v>
      </c>
      <c r="J19" s="3"/>
    </row>
    <row r="20" spans="1:12" x14ac:dyDescent="0.25">
      <c r="A20" s="4" t="s">
        <v>24</v>
      </c>
      <c r="B20" s="7"/>
      <c r="C20" s="17">
        <f>C18+C19</f>
        <v>1129976.013</v>
      </c>
      <c r="D20" s="43"/>
      <c r="E20" s="15">
        <f>SUM(E18:E19)</f>
        <v>1116137.9129999999</v>
      </c>
      <c r="F20" s="46"/>
      <c r="G20" s="14"/>
      <c r="H20" s="3">
        <f>C20-E20</f>
        <v>13838.100000000093</v>
      </c>
      <c r="I20" s="43">
        <f>+H20/E20*100%</f>
        <v>1.2398199038688235E-2</v>
      </c>
      <c r="J20" s="3"/>
    </row>
    <row r="21" spans="1:12" x14ac:dyDescent="0.25">
      <c r="B21" s="7"/>
      <c r="C21" s="31"/>
      <c r="D21" s="43"/>
      <c r="E21" s="19"/>
      <c r="F21" s="46"/>
      <c r="G21" s="14"/>
      <c r="H21" s="35"/>
      <c r="I21" s="49"/>
      <c r="J21" s="3"/>
    </row>
    <row r="22" spans="1:12" x14ac:dyDescent="0.25">
      <c r="A22" s="4" t="s">
        <v>14</v>
      </c>
      <c r="B22" s="7"/>
      <c r="C22" s="17">
        <f>ROUNDUP(C20+C15,0)</f>
        <v>3276224</v>
      </c>
      <c r="D22" s="44">
        <f>SUM(D10:D19)</f>
        <v>0.99999984402775899</v>
      </c>
      <c r="E22" s="11">
        <f>+E15+E20</f>
        <v>2515869.6210000003</v>
      </c>
      <c r="F22" s="47">
        <f>SUM(F10:F19)</f>
        <v>0.99999999999999989</v>
      </c>
      <c r="G22" s="14"/>
      <c r="H22" s="11">
        <f>+C22-E22</f>
        <v>760354.37899999972</v>
      </c>
      <c r="I22" s="43">
        <f>+H22/E22*100%</f>
        <v>0.30222328401015325</v>
      </c>
      <c r="J22" s="3"/>
    </row>
    <row r="23" spans="1:12" x14ac:dyDescent="0.25">
      <c r="B23" s="7"/>
      <c r="C23" s="15"/>
      <c r="D23" s="44"/>
      <c r="F23" s="46"/>
      <c r="G23" s="14"/>
      <c r="I23" s="48"/>
      <c r="J23" s="3"/>
    </row>
    <row r="24" spans="1:12" x14ac:dyDescent="0.25">
      <c r="A24" s="4" t="s">
        <v>15</v>
      </c>
      <c r="B24" s="7"/>
      <c r="C24" s="8"/>
      <c r="D24" s="43"/>
      <c r="F24" s="46"/>
      <c r="G24" s="14"/>
      <c r="I24" s="48"/>
      <c r="J24" s="3"/>
    </row>
    <row r="25" spans="1:12" x14ac:dyDescent="0.25">
      <c r="A25" s="9" t="s">
        <v>41</v>
      </c>
      <c r="B25" s="7">
        <v>17</v>
      </c>
      <c r="C25" s="41">
        <f>70495647/1000</f>
        <v>70495.646999999997</v>
      </c>
      <c r="D25" s="43">
        <f>C25/$C$46*100%</f>
        <v>2.1517348479860865E-2</v>
      </c>
      <c r="E25" s="16">
        <f>203166198/1000</f>
        <v>203166.198</v>
      </c>
      <c r="F25" s="46">
        <f>+E25/$E$46*100%</f>
        <v>8.075386615832543E-2</v>
      </c>
      <c r="G25" s="14"/>
      <c r="H25" s="3">
        <f t="shared" ref="H25:H29" si="5">C25-E25</f>
        <v>-132670.55100000001</v>
      </c>
      <c r="I25" s="43">
        <f>+H25/E25*100%</f>
        <v>-0.6530148829186635</v>
      </c>
      <c r="J25" s="3"/>
    </row>
    <row r="26" spans="1:12" x14ac:dyDescent="0.25">
      <c r="A26" s="9" t="s">
        <v>25</v>
      </c>
      <c r="B26" s="7">
        <v>18</v>
      </c>
      <c r="C26" s="37">
        <f>102980884.373525/1000</f>
        <v>102980.884373525</v>
      </c>
      <c r="D26" s="43">
        <f t="shared" ref="D26:D28" si="6">C26/$C$46*100%</f>
        <v>3.1432800039829345E-2</v>
      </c>
      <c r="E26" s="8">
        <f>46847517/1000</f>
        <v>46847.517</v>
      </c>
      <c r="F26" s="46">
        <f>+E26/$E$46*100%</f>
        <v>1.8620804813544209E-2</v>
      </c>
      <c r="G26" s="14"/>
      <c r="H26" s="3">
        <f t="shared" si="5"/>
        <v>56133.367373524998</v>
      </c>
      <c r="I26" s="43">
        <f>+H26/E26*100%</f>
        <v>1.1982143551711608</v>
      </c>
      <c r="J26" s="3"/>
    </row>
    <row r="27" spans="1:12" x14ac:dyDescent="0.25">
      <c r="A27" s="9" t="s">
        <v>38</v>
      </c>
      <c r="B27" s="7">
        <v>19</v>
      </c>
      <c r="C27" s="8">
        <f>(701001875-13878562)/1000</f>
        <v>687123.31299999997</v>
      </c>
      <c r="D27" s="43">
        <f t="shared" si="6"/>
        <v>0.20973027986334405</v>
      </c>
      <c r="E27" s="8">
        <f>336048251/1000</f>
        <v>336048.25099999999</v>
      </c>
      <c r="F27" s="46">
        <f>+E27/$E$46*100%</f>
        <v>0.1335714097676492</v>
      </c>
      <c r="G27" s="14"/>
      <c r="H27" s="3">
        <f t="shared" si="5"/>
        <v>351075.06199999998</v>
      </c>
      <c r="I27" s="43">
        <f>+H27/E27*100%</f>
        <v>1.0447162303487185</v>
      </c>
      <c r="J27" s="3"/>
      <c r="L27" s="16"/>
    </row>
    <row r="28" spans="1:12" x14ac:dyDescent="0.25">
      <c r="A28" s="9" t="s">
        <v>39</v>
      </c>
      <c r="B28" s="7">
        <v>20</v>
      </c>
      <c r="C28" s="18">
        <f>+(8226140+48400719+3911015)/1000</f>
        <v>60537.874000000003</v>
      </c>
      <c r="D28" s="43">
        <f t="shared" si="6"/>
        <v>1.847794277408233E-2</v>
      </c>
      <c r="E28" s="25">
        <f>19800574/1000</f>
        <v>19800.574000000001</v>
      </c>
      <c r="F28" s="46">
        <f>+E28/$E$46*100%</f>
        <v>7.8702703421856552E-3</v>
      </c>
      <c r="G28" s="14"/>
      <c r="H28" s="3">
        <f t="shared" si="5"/>
        <v>40737.300000000003</v>
      </c>
      <c r="I28" s="43">
        <f>+H28/E28*100%</f>
        <v>2.057379750708237</v>
      </c>
      <c r="J28" s="3"/>
    </row>
    <row r="29" spans="1:12" x14ac:dyDescent="0.25">
      <c r="A29" s="4" t="s">
        <v>16</v>
      </c>
      <c r="B29" s="7"/>
      <c r="C29" s="32">
        <f>SUM(C25:C28)</f>
        <v>921137.71837352484</v>
      </c>
      <c r="D29" s="43"/>
      <c r="E29" s="17">
        <f>SUM(E25:E28)</f>
        <v>605862.54</v>
      </c>
      <c r="F29" s="46"/>
      <c r="G29" s="14"/>
      <c r="H29" s="3">
        <f t="shared" si="5"/>
        <v>315275.1783735248</v>
      </c>
      <c r="I29" s="43">
        <f>+H29/E29*100%</f>
        <v>0.52037410725793476</v>
      </c>
      <c r="J29" s="3"/>
    </row>
    <row r="30" spans="1:12" x14ac:dyDescent="0.25">
      <c r="A30" s="4"/>
      <c r="B30" s="7"/>
      <c r="C30" s="8"/>
      <c r="D30" s="43"/>
      <c r="E30" s="17"/>
      <c r="F30" s="46"/>
      <c r="G30" s="14"/>
      <c r="H30" s="3"/>
      <c r="I30" s="43"/>
      <c r="J30" s="3"/>
      <c r="K30" s="21"/>
    </row>
    <row r="31" spans="1:12" x14ac:dyDescent="0.25">
      <c r="A31" s="4" t="s">
        <v>34</v>
      </c>
      <c r="B31" s="7"/>
      <c r="C31" s="10"/>
      <c r="D31" s="43"/>
      <c r="E31" s="8"/>
      <c r="F31" s="46"/>
      <c r="G31" s="14"/>
      <c r="H31" s="3"/>
      <c r="I31" s="43"/>
      <c r="J31" s="3"/>
    </row>
    <row r="32" spans="1:12" x14ac:dyDescent="0.25">
      <c r="A32" s="9" t="s">
        <v>25</v>
      </c>
      <c r="B32" s="7">
        <v>21</v>
      </c>
      <c r="C32" s="42">
        <f>27826111.2619117/1000</f>
        <v>27826.111261911701</v>
      </c>
      <c r="D32" s="43">
        <f t="shared" ref="D32" si="7">C32/$C$46*100%</f>
        <v>8.4933489987251976E-3</v>
      </c>
      <c r="E32" s="25">
        <f>130806996/1000</f>
        <v>130806.996</v>
      </c>
      <c r="F32" s="46">
        <f>+E32/$E$46*100%</f>
        <v>5.1992756430656886E-2</v>
      </c>
      <c r="G32" s="14"/>
      <c r="H32" s="3">
        <f t="shared" ref="H32:H33" si="8">C32-E32</f>
        <v>-102980.88473808829</v>
      </c>
      <c r="I32" s="43">
        <f>+H32/E32*100%</f>
        <v>-0.78727352425468355</v>
      </c>
      <c r="J32" s="3"/>
    </row>
    <row r="33" spans="1:13" x14ac:dyDescent="0.25">
      <c r="A33" s="4" t="s">
        <v>35</v>
      </c>
      <c r="B33" s="7"/>
      <c r="C33" s="17">
        <f>C32</f>
        <v>27826.111261911701</v>
      </c>
      <c r="D33" s="43"/>
      <c r="E33" s="15">
        <f>E32</f>
        <v>130806.996</v>
      </c>
      <c r="F33" s="46"/>
      <c r="G33" s="14"/>
      <c r="H33" s="3">
        <f t="shared" si="8"/>
        <v>-102980.88473808829</v>
      </c>
      <c r="I33" s="43">
        <f>+H33/E33*100%</f>
        <v>-0.78727352425468355</v>
      </c>
      <c r="J33" s="3"/>
    </row>
    <row r="34" spans="1:13" x14ac:dyDescent="0.25">
      <c r="A34" s="4"/>
      <c r="B34" s="7"/>
      <c r="C34" s="31"/>
      <c r="D34" s="43"/>
      <c r="E34" s="19"/>
      <c r="F34" s="46"/>
      <c r="G34" s="14"/>
      <c r="H34" s="35"/>
      <c r="I34" s="49"/>
      <c r="J34" s="3"/>
    </row>
    <row r="35" spans="1:13" x14ac:dyDescent="0.25">
      <c r="A35" s="4" t="s">
        <v>17</v>
      </c>
      <c r="B35" s="7"/>
      <c r="C35" s="15">
        <f>C33+C29</f>
        <v>948963.82963543653</v>
      </c>
      <c r="D35" s="43"/>
      <c r="E35" s="15">
        <f>+E29+E33</f>
        <v>736669.53600000008</v>
      </c>
      <c r="F35" s="46"/>
      <c r="G35" s="14"/>
      <c r="H35" s="3">
        <f>C35-E35</f>
        <v>212294.29363543645</v>
      </c>
      <c r="I35" s="43">
        <f>+H35/E35*100%</f>
        <v>0.28818117658042591</v>
      </c>
      <c r="J35" s="3"/>
    </row>
    <row r="36" spans="1:13" ht="17.25" x14ac:dyDescent="0.4">
      <c r="A36" s="4"/>
      <c r="B36" s="7"/>
      <c r="C36" s="30"/>
      <c r="D36" s="43"/>
      <c r="E36" s="8"/>
      <c r="F36" s="46"/>
      <c r="G36" s="14"/>
      <c r="H36" s="35"/>
      <c r="I36" s="49"/>
      <c r="J36" s="3"/>
    </row>
    <row r="37" spans="1:13" x14ac:dyDescent="0.25">
      <c r="A37" s="4" t="s">
        <v>26</v>
      </c>
      <c r="B37" s="7"/>
      <c r="C37" s="18"/>
      <c r="D37" s="43"/>
      <c r="E37" s="8"/>
      <c r="F37" s="46"/>
      <c r="G37" s="14"/>
      <c r="H37" s="35"/>
      <c r="I37" s="49"/>
      <c r="J37" s="3"/>
    </row>
    <row r="38" spans="1:13" x14ac:dyDescent="0.25">
      <c r="A38" s="9" t="s">
        <v>27</v>
      </c>
      <c r="B38" s="7">
        <v>22</v>
      </c>
      <c r="C38" s="18">
        <f>700000000/1000</f>
        <v>700000</v>
      </c>
      <c r="D38" s="43">
        <f t="shared" ref="D38:D43" si="9">C38/$C$46*100%</f>
        <v>0.21366062412197742</v>
      </c>
      <c r="E38" s="8">
        <f>700000000/1000</f>
        <v>700000</v>
      </c>
      <c r="F38" s="45">
        <f t="shared" ref="F38:F43" si="10">E38/$E$46*100%</f>
        <v>0.27823381481415427</v>
      </c>
      <c r="G38" s="14"/>
      <c r="H38" s="3">
        <f t="shared" ref="H38:H44" si="11">C38-E38</f>
        <v>0</v>
      </c>
      <c r="I38" s="43">
        <f t="shared" ref="I38:I44" si="12">+H38/E38*100%</f>
        <v>0</v>
      </c>
      <c r="J38" s="3"/>
    </row>
    <row r="39" spans="1:13" x14ac:dyDescent="0.25">
      <c r="A39" s="9" t="s">
        <v>28</v>
      </c>
      <c r="B39" s="7">
        <v>23</v>
      </c>
      <c r="C39" s="10">
        <f>95690000/1000</f>
        <v>95690</v>
      </c>
      <c r="D39" s="43">
        <f t="shared" si="9"/>
        <v>2.9207407317474315E-2</v>
      </c>
      <c r="E39" s="8">
        <f>95690000/1000</f>
        <v>95690</v>
      </c>
      <c r="F39" s="45">
        <f t="shared" si="10"/>
        <v>3.8034562485094889E-2</v>
      </c>
      <c r="G39" s="14"/>
      <c r="H39" s="3">
        <f t="shared" si="11"/>
        <v>0</v>
      </c>
      <c r="I39" s="43">
        <f t="shared" si="12"/>
        <v>0</v>
      </c>
      <c r="J39" s="3"/>
    </row>
    <row r="40" spans="1:13" x14ac:dyDescent="0.25">
      <c r="A40" s="9" t="s">
        <v>29</v>
      </c>
      <c r="B40" s="7">
        <v>24</v>
      </c>
      <c r="C40" s="8">
        <f>17975600/1000</f>
        <v>17975.599999999999</v>
      </c>
      <c r="D40" s="43">
        <f t="shared" si="9"/>
        <v>5.4866827356671675E-3</v>
      </c>
      <c r="E40" s="8">
        <f>4538100/1000</f>
        <v>4538.1000000000004</v>
      </c>
      <c r="F40" s="45">
        <f t="shared" si="10"/>
        <v>1.8037898214401625E-3</v>
      </c>
      <c r="G40" s="14"/>
      <c r="H40" s="3">
        <f t="shared" si="11"/>
        <v>13437.499999999998</v>
      </c>
      <c r="I40" s="43">
        <f t="shared" si="12"/>
        <v>2.9610409642802047</v>
      </c>
      <c r="J40" s="3"/>
    </row>
    <row r="41" spans="1:13" x14ac:dyDescent="0.25">
      <c r="A41" s="9" t="s">
        <v>30</v>
      </c>
      <c r="B41" s="7">
        <v>25</v>
      </c>
      <c r="C41" s="8">
        <f>56024220/1000</f>
        <v>56024.22</v>
      </c>
      <c r="D41" s="43">
        <f t="shared" si="9"/>
        <v>1.7100242587352814E-2</v>
      </c>
      <c r="E41" s="8">
        <f>(27181074+28012081)/1000</f>
        <v>55193.154999999999</v>
      </c>
      <c r="F41" s="45">
        <f t="shared" si="10"/>
        <v>2.1938002953255591E-2</v>
      </c>
      <c r="G41" s="14"/>
      <c r="H41" s="3">
        <f t="shared" si="11"/>
        <v>831.06500000000233</v>
      </c>
      <c r="I41" s="43">
        <f t="shared" si="12"/>
        <v>1.5057392533548814E-2</v>
      </c>
      <c r="J41" s="3"/>
    </row>
    <row r="42" spans="1:13" x14ac:dyDescent="0.25">
      <c r="A42" s="9" t="s">
        <v>31</v>
      </c>
      <c r="B42" s="26">
        <v>26</v>
      </c>
      <c r="C42" s="8">
        <f>922947765/1000</f>
        <v>922947.76500000001</v>
      </c>
      <c r="D42" s="43">
        <f t="shared" si="9"/>
        <v>0.28171085071697738</v>
      </c>
      <c r="E42" s="8">
        <f>(663359444-135181599-28012081)/1000</f>
        <v>500165.76400000002</v>
      </c>
      <c r="F42" s="45">
        <f t="shared" si="10"/>
        <v>0.19880432651022287</v>
      </c>
      <c r="G42" s="14"/>
      <c r="H42" s="3">
        <f t="shared" si="11"/>
        <v>422782.00099999999</v>
      </c>
      <c r="I42" s="43">
        <f t="shared" si="12"/>
        <v>0.84528376676337236</v>
      </c>
      <c r="J42" s="3"/>
    </row>
    <row r="43" spans="1:13" x14ac:dyDescent="0.25">
      <c r="A43" s="9" t="s">
        <v>32</v>
      </c>
      <c r="B43" s="7">
        <v>27</v>
      </c>
      <c r="C43" s="19">
        <f>534622283/1000</f>
        <v>534622.28300000005</v>
      </c>
      <c r="D43" s="43">
        <f t="shared" si="9"/>
        <v>0.16318247236470923</v>
      </c>
      <c r="E43" s="8">
        <f>(288431459+135181599)/1000</f>
        <v>423613.05800000002</v>
      </c>
      <c r="F43" s="45">
        <f t="shared" si="10"/>
        <v>0.16837639590347087</v>
      </c>
      <c r="G43" s="14"/>
      <c r="H43" s="3">
        <f t="shared" si="11"/>
        <v>111009.22500000003</v>
      </c>
      <c r="I43" s="43">
        <f t="shared" si="12"/>
        <v>0.26205335955436959</v>
      </c>
      <c r="J43" s="3"/>
      <c r="K43" s="8"/>
    </row>
    <row r="44" spans="1:13" x14ac:dyDescent="0.25">
      <c r="A44" s="4" t="s">
        <v>40</v>
      </c>
      <c r="B44" s="7"/>
      <c r="C44" s="15">
        <f>SUM(C38:C43)</f>
        <v>2327259.8679999998</v>
      </c>
      <c r="D44" s="43"/>
      <c r="E44" s="29">
        <f>SUM(E38:E43)</f>
        <v>1779200.077</v>
      </c>
      <c r="F44" s="46"/>
      <c r="G44" s="14"/>
      <c r="H44" s="3">
        <f t="shared" si="11"/>
        <v>548059.79099999974</v>
      </c>
      <c r="I44" s="43">
        <f t="shared" si="12"/>
        <v>0.30803718934416374</v>
      </c>
      <c r="J44" s="3"/>
    </row>
    <row r="45" spans="1:13" x14ac:dyDescent="0.25">
      <c r="B45" s="22"/>
      <c r="C45" s="19"/>
      <c r="D45" s="43"/>
      <c r="E45" s="19"/>
      <c r="F45" s="46"/>
      <c r="G45" s="14"/>
      <c r="H45" s="35"/>
      <c r="I45" s="49"/>
      <c r="J45" s="3"/>
      <c r="K45" s="3"/>
    </row>
    <row r="46" spans="1:13" x14ac:dyDescent="0.25">
      <c r="A46" s="4" t="s">
        <v>18</v>
      </c>
      <c r="B46" s="22"/>
      <c r="C46" s="17">
        <f>C44+C35</f>
        <v>3276223.6976354364</v>
      </c>
      <c r="D46" s="44">
        <f>SUM(D25:D43)</f>
        <v>1.0000000000000002</v>
      </c>
      <c r="E46" s="15">
        <f>E44+E35</f>
        <v>2515869.6129999999</v>
      </c>
      <c r="F46" s="47">
        <f>SUM(F25:F43)</f>
        <v>0.99999999999999989</v>
      </c>
      <c r="G46" s="14"/>
      <c r="H46" s="3">
        <f>C46-E46</f>
        <v>760354.08463543653</v>
      </c>
      <c r="I46" s="43">
        <f>+H46/E46*100%</f>
        <v>0.30222316796805976</v>
      </c>
      <c r="J46" s="3"/>
      <c r="K46" s="3"/>
    </row>
    <row r="47" spans="1:13" x14ac:dyDescent="0.25">
      <c r="C47" s="18"/>
      <c r="D47" s="13"/>
      <c r="E47" s="8"/>
      <c r="F47" s="2"/>
      <c r="G47" s="14"/>
      <c r="H47" s="35"/>
      <c r="I47" s="49"/>
      <c r="J47" s="3"/>
      <c r="M47" s="3"/>
    </row>
    <row r="48" spans="1:13" x14ac:dyDescent="0.25">
      <c r="C48" s="3"/>
      <c r="E48" s="8"/>
      <c r="F48" s="2"/>
      <c r="G48" s="20"/>
      <c r="H48" s="3"/>
      <c r="I48" s="13"/>
    </row>
    <row r="49" spans="1:10" x14ac:dyDescent="0.25">
      <c r="B49" s="9"/>
      <c r="C49" s="9"/>
      <c r="D49" s="9"/>
      <c r="E49" s="9"/>
      <c r="F49" s="24"/>
      <c r="G49" s="20"/>
      <c r="I49" s="27"/>
      <c r="J49" s="28"/>
    </row>
    <row r="50" spans="1:10" x14ac:dyDescent="0.25">
      <c r="A50" s="9"/>
      <c r="B50" s="9"/>
      <c r="C50" s="9"/>
      <c r="D50" s="9"/>
      <c r="E50" s="9"/>
      <c r="F50" s="1"/>
      <c r="G50" s="20"/>
      <c r="H50" s="3"/>
      <c r="I50" s="13"/>
      <c r="J50" s="28"/>
    </row>
    <row r="51" spans="1:10" x14ac:dyDescent="0.25">
      <c r="A51" s="33" t="s">
        <v>4</v>
      </c>
      <c r="B51" s="4"/>
      <c r="C51" s="4"/>
      <c r="D51" s="4"/>
      <c r="E51" s="4"/>
      <c r="F51" s="39" t="s">
        <v>5</v>
      </c>
      <c r="G51" s="39"/>
    </row>
    <row r="52" spans="1:10" x14ac:dyDescent="0.25">
      <c r="A52" s="38" t="s">
        <v>6</v>
      </c>
      <c r="F52" s="40" t="s">
        <v>7</v>
      </c>
      <c r="G52" s="40"/>
    </row>
    <row r="53" spans="1:10" x14ac:dyDescent="0.25">
      <c r="E53" s="8"/>
      <c r="F53" s="40" t="s">
        <v>8</v>
      </c>
      <c r="G53" s="40"/>
    </row>
    <row r="54" spans="1:10" x14ac:dyDescent="0.25">
      <c r="E54" s="8"/>
    </row>
    <row r="56" spans="1:10" x14ac:dyDescent="0.25">
      <c r="F56" s="1"/>
    </row>
    <row r="57" spans="1:10" x14ac:dyDescent="0.25">
      <c r="F57" s="1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orientation="portrait" r:id="rId1"/>
  <ignoredErrors>
    <ignoredError sqref="E22 D38:D39 D46:E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D6AD-8A94-450F-BFEA-4A064FC6780B}">
  <dimension ref="A1:P27"/>
  <sheetViews>
    <sheetView showGridLines="0" showRowColHeaders="0" topLeftCell="A2" workbookViewId="0">
      <selection activeCell="A3" sqref="A3:J3"/>
    </sheetView>
  </sheetViews>
  <sheetFormatPr defaultColWidth="11.42578125" defaultRowHeight="15" x14ac:dyDescent="0.25"/>
  <cols>
    <col min="1" max="1" width="46.42578125" customWidth="1"/>
    <col min="2" max="2" width="2.28515625" customWidth="1"/>
    <col min="3" max="3" width="5.28515625" bestFit="1" customWidth="1"/>
    <col min="4" max="4" width="16.42578125" customWidth="1"/>
    <col min="5" max="5" width="7.140625" bestFit="1" customWidth="1"/>
    <col min="6" max="6" width="14.5703125" customWidth="1"/>
    <col min="7" max="7" width="7.140625" bestFit="1" customWidth="1"/>
    <col min="8" max="8" width="1.42578125" customWidth="1"/>
    <col min="9" max="9" width="14" customWidth="1"/>
    <col min="10" max="10" width="11" customWidth="1"/>
    <col min="11" max="11" width="16.42578125" style="52" bestFit="1" customWidth="1"/>
    <col min="12" max="12" width="1.42578125" customWidth="1"/>
    <col min="13" max="13" width="13.5703125" bestFit="1" customWidth="1"/>
    <col min="15" max="15" width="11.42578125" style="53"/>
  </cols>
  <sheetData>
    <row r="1" spans="1:16" x14ac:dyDescent="0.25">
      <c r="A1" s="51" t="s">
        <v>9</v>
      </c>
      <c r="B1" s="51"/>
      <c r="C1" s="51"/>
      <c r="D1" s="51"/>
      <c r="E1" s="51"/>
      <c r="F1" s="51"/>
      <c r="G1" s="51"/>
      <c r="H1" s="51"/>
      <c r="I1" s="51"/>
      <c r="J1" s="51"/>
    </row>
    <row r="2" spans="1:16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</row>
    <row r="3" spans="1:16" x14ac:dyDescent="0.25">
      <c r="A3" s="51" t="s">
        <v>63</v>
      </c>
      <c r="B3" s="51"/>
      <c r="C3" s="51"/>
      <c r="D3" s="51"/>
      <c r="E3" s="51"/>
      <c r="F3" s="51"/>
      <c r="G3" s="51"/>
      <c r="H3" s="51"/>
      <c r="I3" s="51"/>
      <c r="J3" s="51"/>
    </row>
    <row r="4" spans="1:16" x14ac:dyDescent="0.25">
      <c r="A4" s="51" t="s">
        <v>51</v>
      </c>
      <c r="B4" s="51"/>
      <c r="C4" s="51"/>
      <c r="D4" s="51"/>
      <c r="E4" s="51"/>
      <c r="F4" s="51"/>
      <c r="G4" s="51"/>
      <c r="H4" s="51"/>
      <c r="I4" s="51"/>
      <c r="J4" s="51"/>
    </row>
    <row r="5" spans="1:16" x14ac:dyDescent="0.25">
      <c r="A5" s="51" t="s">
        <v>37</v>
      </c>
      <c r="B5" s="51"/>
      <c r="C5" s="51"/>
      <c r="D5" s="51"/>
      <c r="E5" s="51"/>
      <c r="F5" s="51"/>
      <c r="G5" s="51"/>
      <c r="H5" s="51"/>
      <c r="I5" s="51"/>
      <c r="J5" s="51"/>
    </row>
    <row r="6" spans="1:16" x14ac:dyDescent="0.25">
      <c r="E6" s="1"/>
      <c r="G6" s="2"/>
      <c r="H6" s="2"/>
      <c r="I6" s="54"/>
      <c r="J6" s="54"/>
    </row>
    <row r="7" spans="1:16" x14ac:dyDescent="0.25">
      <c r="E7" s="1"/>
      <c r="G7" s="2"/>
      <c r="H7" s="2"/>
      <c r="I7" s="54"/>
      <c r="J7" s="54"/>
    </row>
    <row r="8" spans="1:16" x14ac:dyDescent="0.25">
      <c r="D8" s="3"/>
      <c r="E8" s="1"/>
      <c r="G8" s="2"/>
      <c r="H8" s="2"/>
      <c r="I8" s="54"/>
      <c r="J8" s="54"/>
      <c r="N8" s="55">
        <v>43435</v>
      </c>
      <c r="O8" s="56">
        <v>43252</v>
      </c>
    </row>
    <row r="9" spans="1:16" x14ac:dyDescent="0.25">
      <c r="A9" s="4"/>
      <c r="C9" s="50" t="s">
        <v>1</v>
      </c>
      <c r="D9" s="5" t="s">
        <v>42</v>
      </c>
      <c r="E9" s="6"/>
      <c r="F9" s="5" t="s">
        <v>36</v>
      </c>
      <c r="G9" s="57"/>
      <c r="H9" s="57"/>
      <c r="I9" s="58" t="s">
        <v>2</v>
      </c>
      <c r="J9" s="58" t="s">
        <v>3</v>
      </c>
      <c r="M9" t="str">
        <f>+A20</f>
        <v>Ganancia Neta del ejercicio</v>
      </c>
      <c r="N9" s="3">
        <f>+D20</f>
        <v>534622.11499999999</v>
      </c>
      <c r="O9" s="59">
        <f>+F20</f>
        <v>423613.77199999988</v>
      </c>
    </row>
    <row r="10" spans="1:16" x14ac:dyDescent="0.25">
      <c r="A10" t="s">
        <v>52</v>
      </c>
      <c r="C10" s="7">
        <v>3</v>
      </c>
      <c r="D10" s="8">
        <v>3735204</v>
      </c>
      <c r="E10" s="2">
        <v>1</v>
      </c>
      <c r="F10" s="8">
        <f>+(K10+M10)/1000</f>
        <v>2208190.0839999998</v>
      </c>
      <c r="G10" s="2">
        <v>1</v>
      </c>
      <c r="H10" s="60"/>
      <c r="I10" s="61">
        <f>+D10-F10</f>
        <v>1527013.9160000002</v>
      </c>
      <c r="J10" s="62">
        <f>+I10/$F$10*100%</f>
        <v>0.69152285714185846</v>
      </c>
      <c r="K10" s="63">
        <v>1528573815</v>
      </c>
      <c r="L10" s="63"/>
      <c r="M10" s="63">
        <v>679616269</v>
      </c>
      <c r="O10" s="64"/>
      <c r="P10" s="65"/>
    </row>
    <row r="11" spans="1:16" ht="17.25" x14ac:dyDescent="0.4">
      <c r="A11" t="s">
        <v>53</v>
      </c>
      <c r="C11" s="7">
        <v>4</v>
      </c>
      <c r="D11" s="66">
        <v>-2601179</v>
      </c>
      <c r="E11" s="67">
        <f>-D11/$D$10*$E$10</f>
        <v>0.69639543114646485</v>
      </c>
      <c r="F11" s="66">
        <f>-(K11+M11)/1000</f>
        <v>-1431133.7120000001</v>
      </c>
      <c r="G11" s="67">
        <f>-F11/$F$10*$G$10</f>
        <v>0.6481025897044107</v>
      </c>
      <c r="H11" s="68"/>
      <c r="I11" s="61">
        <f>-D11+F11</f>
        <v>1170045.2879999999</v>
      </c>
      <c r="J11" s="62">
        <f t="shared" ref="J11:J20" si="0">+I11/F11*100%</f>
        <v>-0.81756531775418051</v>
      </c>
      <c r="K11" s="63">
        <v>990764832</v>
      </c>
      <c r="L11" s="63"/>
      <c r="M11" s="63">
        <v>440368880</v>
      </c>
    </row>
    <row r="12" spans="1:16" ht="17.25" x14ac:dyDescent="0.25">
      <c r="A12" s="4" t="s">
        <v>54</v>
      </c>
      <c r="C12" s="7"/>
      <c r="D12" s="15">
        <f>D10+D11</f>
        <v>1134025</v>
      </c>
      <c r="E12" s="67"/>
      <c r="F12" s="15">
        <f>+F10+F11</f>
        <v>777056.37199999974</v>
      </c>
      <c r="G12" s="69"/>
      <c r="H12" s="70"/>
      <c r="I12" s="61">
        <f>+D12-F12</f>
        <v>356968.62800000026</v>
      </c>
      <c r="J12" s="62">
        <f t="shared" si="0"/>
        <v>0.45938575483427135</v>
      </c>
      <c r="K12" s="71"/>
      <c r="L12" s="71"/>
      <c r="M12" s="71"/>
    </row>
    <row r="13" spans="1:16" x14ac:dyDescent="0.25">
      <c r="A13" t="s">
        <v>55</v>
      </c>
      <c r="C13" s="7">
        <v>5</v>
      </c>
      <c r="D13" s="8">
        <v>-243496</v>
      </c>
      <c r="E13" s="67">
        <f>-D13/$D$10*$E$10</f>
        <v>6.5189478272137211E-2</v>
      </c>
      <c r="F13" s="8">
        <f>-145042330/1000</f>
        <v>-145042.32999999999</v>
      </c>
      <c r="G13" s="67">
        <f>-F13/$F$10*$G$10</f>
        <v>6.5683806412745405E-2</v>
      </c>
      <c r="H13" s="68"/>
      <c r="I13" s="61">
        <f>-D13+F13</f>
        <v>98453.670000000013</v>
      </c>
      <c r="J13" s="62">
        <f t="shared" si="0"/>
        <v>-0.67879266694074769</v>
      </c>
      <c r="K13" s="71">
        <v>81495228</v>
      </c>
      <c r="L13" s="71"/>
      <c r="M13" s="71">
        <v>63891178</v>
      </c>
    </row>
    <row r="14" spans="1:16" ht="17.25" x14ac:dyDescent="0.4">
      <c r="A14" t="s">
        <v>56</v>
      </c>
      <c r="C14" s="7">
        <v>6</v>
      </c>
      <c r="D14" s="66">
        <v>-75702</v>
      </c>
      <c r="E14" s="67">
        <f>-D14/$D$10*$E$10</f>
        <v>2.0267166130685233E-2</v>
      </c>
      <c r="F14" s="66">
        <f>-57102556/1000</f>
        <v>-57102.555999999997</v>
      </c>
      <c r="G14" s="67">
        <f>-F14/$F$10*$G$10</f>
        <v>2.5859438647855101E-2</v>
      </c>
      <c r="H14" s="68"/>
      <c r="I14" s="61">
        <f>-D14+F14</f>
        <v>18599.444000000003</v>
      </c>
      <c r="J14" s="62">
        <f t="shared" si="0"/>
        <v>-0.3257199905377266</v>
      </c>
      <c r="K14" s="71">
        <v>30292477</v>
      </c>
      <c r="L14" s="71"/>
      <c r="M14" s="71">
        <v>26466717</v>
      </c>
      <c r="N14" s="3"/>
    </row>
    <row r="15" spans="1:16" ht="17.25" x14ac:dyDescent="0.25">
      <c r="A15" s="4" t="s">
        <v>57</v>
      </c>
      <c r="C15" s="7"/>
      <c r="D15" s="15">
        <f>+D12+D13+D14</f>
        <v>814827</v>
      </c>
      <c r="E15" s="69"/>
      <c r="F15" s="15">
        <f>+F12+F13+F14</f>
        <v>574911.4859999998</v>
      </c>
      <c r="G15" s="72"/>
      <c r="H15" s="73"/>
      <c r="I15" s="61">
        <f>+D15-F15</f>
        <v>239915.5140000002</v>
      </c>
      <c r="J15" s="62">
        <f t="shared" si="0"/>
        <v>0.41730861157294791</v>
      </c>
      <c r="K15" s="71"/>
      <c r="L15" s="71"/>
      <c r="M15" s="71"/>
    </row>
    <row r="16" spans="1:16" x14ac:dyDescent="0.25">
      <c r="A16" t="s">
        <v>58</v>
      </c>
      <c r="C16" s="7">
        <v>7</v>
      </c>
      <c r="D16" s="8">
        <f>-24510336/1000</f>
        <v>-24510.335999999999</v>
      </c>
      <c r="E16" s="67">
        <f>-D16/$D$10*$E$10</f>
        <v>6.5619805504598941E-3</v>
      </c>
      <c r="F16" s="8">
        <f>-(K16+M16)/1000</f>
        <v>-22752.627</v>
      </c>
      <c r="G16" s="67">
        <f>-F16/$F$10*$G$10</f>
        <v>1.0303744756785169E-2</v>
      </c>
      <c r="H16" s="68"/>
      <c r="I16" s="61">
        <f>-D16+F16</f>
        <v>1757.7089999999989</v>
      </c>
      <c r="J16" s="62">
        <f t="shared" si="0"/>
        <v>-7.7253013465214321E-2</v>
      </c>
      <c r="K16" s="71">
        <v>18162388</v>
      </c>
      <c r="L16" s="71"/>
      <c r="M16" s="71">
        <v>4590239</v>
      </c>
    </row>
    <row r="17" spans="1:13" ht="17.25" x14ac:dyDescent="0.4">
      <c r="A17" t="s">
        <v>59</v>
      </c>
      <c r="C17" s="7">
        <v>8</v>
      </c>
      <c r="D17" s="66">
        <v>11206</v>
      </c>
      <c r="E17" s="67">
        <f>+D17/$D$10*$E$10</f>
        <v>3.0001038765218712E-3</v>
      </c>
      <c r="F17" s="66">
        <f>+(K17+M17)/1000</f>
        <v>80100.149999999994</v>
      </c>
      <c r="G17" s="67">
        <f>+F17/$F$10*$G$10</f>
        <v>3.6274119053602269E-2</v>
      </c>
      <c r="H17" s="68"/>
      <c r="I17" s="61">
        <f>+D17-F17</f>
        <v>-68894.149999999994</v>
      </c>
      <c r="J17" s="62">
        <f t="shared" si="0"/>
        <v>-0.86010013714081679</v>
      </c>
      <c r="K17" s="63">
        <f>5325987+17309837</f>
        <v>22635824</v>
      </c>
      <c r="L17" s="63"/>
      <c r="M17" s="63">
        <f>47605667+9858659</f>
        <v>57464326</v>
      </c>
    </row>
    <row r="18" spans="1:13" ht="28.5" customHeight="1" x14ac:dyDescent="0.25">
      <c r="A18" s="74" t="s">
        <v>60</v>
      </c>
      <c r="C18" s="7"/>
      <c r="D18" s="75">
        <f>+D15+D16+D17</f>
        <v>801522.66399999999</v>
      </c>
      <c r="E18" s="24"/>
      <c r="F18" s="75">
        <f>+F15+F16+F17</f>
        <v>632259.00899999985</v>
      </c>
      <c r="G18" s="72"/>
      <c r="H18" s="73"/>
      <c r="I18" s="61">
        <f>+D18-F18</f>
        <v>169263.65500000014</v>
      </c>
      <c r="J18" s="62">
        <f t="shared" si="0"/>
        <v>0.26771252380841942</v>
      </c>
      <c r="K18" s="63"/>
      <c r="L18" s="63"/>
      <c r="M18" s="63"/>
    </row>
    <row r="19" spans="1:13" ht="17.25" x14ac:dyDescent="0.4">
      <c r="A19" t="s">
        <v>61</v>
      </c>
      <c r="C19" s="7">
        <v>9</v>
      </c>
      <c r="D19" s="66">
        <f>-266900549/1000</f>
        <v>-266900.549</v>
      </c>
      <c r="E19" s="67">
        <f>-D19/$D$10*$E$10</f>
        <v>7.1455414215662649E-2</v>
      </c>
      <c r="F19" s="66">
        <f>-(K19+M19)/1000</f>
        <v>-208645.23699999999</v>
      </c>
      <c r="G19" s="67">
        <f>-F19/$F$10*$G$10</f>
        <v>9.4486991184224531E-2</v>
      </c>
      <c r="H19" s="68"/>
      <c r="I19" s="61">
        <f>-D19+F19</f>
        <v>58255.312000000005</v>
      </c>
      <c r="J19" s="62">
        <f t="shared" si="0"/>
        <v>-0.27920748557514402</v>
      </c>
      <c r="K19" s="63">
        <v>142063255</v>
      </c>
      <c r="L19" s="63"/>
      <c r="M19" s="63">
        <v>66581982</v>
      </c>
    </row>
    <row r="20" spans="1:13" x14ac:dyDescent="0.25">
      <c r="A20" s="4" t="s">
        <v>62</v>
      </c>
      <c r="C20" s="7"/>
      <c r="D20" s="15">
        <f>+D18+D19</f>
        <v>534622.11499999999</v>
      </c>
      <c r="E20" s="67">
        <f>+D20/$D$10*$E$10</f>
        <v>0.14313063356111205</v>
      </c>
      <c r="F20" s="15">
        <f>+F18+F19</f>
        <v>423613.77199999988</v>
      </c>
      <c r="G20" s="67">
        <f>+F20/$F$10*$G$10</f>
        <v>0.19183754834758143</v>
      </c>
      <c r="H20" s="68"/>
      <c r="I20" s="61">
        <f>+D20-F20</f>
        <v>111008.34300000011</v>
      </c>
      <c r="J20" s="62">
        <f t="shared" si="0"/>
        <v>0.26205083577877669</v>
      </c>
      <c r="K20" s="76"/>
      <c r="L20" s="76"/>
      <c r="M20" s="76"/>
    </row>
    <row r="21" spans="1:13" x14ac:dyDescent="0.25">
      <c r="C21" s="7"/>
      <c r="E21" s="1"/>
      <c r="G21" s="2"/>
      <c r="H21" s="2"/>
      <c r="I21" s="54"/>
      <c r="J21" s="54"/>
    </row>
    <row r="22" spans="1:13" x14ac:dyDescent="0.25">
      <c r="B22" s="1"/>
      <c r="C22" s="7"/>
      <c r="E22" s="1"/>
      <c r="F22" s="1"/>
      <c r="G22" s="2"/>
      <c r="H22" s="2"/>
      <c r="I22" s="54"/>
      <c r="J22" s="54"/>
    </row>
    <row r="23" spans="1:13" x14ac:dyDescent="0.25">
      <c r="G23" s="77"/>
      <c r="H23" s="77"/>
      <c r="I23" s="77"/>
      <c r="J23" s="2"/>
    </row>
    <row r="24" spans="1:13" x14ac:dyDescent="0.25">
      <c r="A24" t="s">
        <v>4</v>
      </c>
      <c r="F24" s="77" t="s">
        <v>5</v>
      </c>
      <c r="G24" s="77"/>
      <c r="H24" s="77"/>
      <c r="I24" s="77"/>
      <c r="J24" s="77"/>
    </row>
    <row r="25" spans="1:13" x14ac:dyDescent="0.25">
      <c r="A25" s="4" t="s">
        <v>6</v>
      </c>
      <c r="F25" s="78" t="s">
        <v>7</v>
      </c>
      <c r="G25" s="78"/>
      <c r="H25" s="78"/>
      <c r="I25" s="78"/>
      <c r="J25" s="78"/>
    </row>
    <row r="26" spans="1:13" x14ac:dyDescent="0.25">
      <c r="F26" s="78" t="s">
        <v>8</v>
      </c>
      <c r="G26" s="78"/>
      <c r="H26" s="78"/>
      <c r="I26" s="78"/>
      <c r="J26" s="78"/>
    </row>
    <row r="27" spans="1:13" x14ac:dyDescent="0.25">
      <c r="C27" s="7"/>
      <c r="E27" s="1"/>
      <c r="G27" s="2"/>
      <c r="H27" s="2"/>
      <c r="I27" s="54"/>
      <c r="J27" s="54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F24:J24"/>
    <mergeCell ref="F25:J25"/>
    <mergeCell ref="F26:J26"/>
    <mergeCell ref="A1:J1"/>
    <mergeCell ref="A2:J2"/>
    <mergeCell ref="A3:J3"/>
    <mergeCell ref="A4:J4"/>
    <mergeCell ref="A5:J5"/>
    <mergeCell ref="G23:I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D6068-6282-44D3-9DFC-4ECEB720DBBD}">
  <dimension ref="A1:L48"/>
  <sheetViews>
    <sheetView showGridLines="0" workbookViewId="0">
      <selection activeCell="A2" sqref="A2:J2"/>
    </sheetView>
  </sheetViews>
  <sheetFormatPr defaultColWidth="11.42578125" defaultRowHeight="15" x14ac:dyDescent="0.25"/>
  <cols>
    <col min="1" max="1" width="20.42578125" customWidth="1"/>
    <col min="2" max="2" width="23.140625" customWidth="1"/>
    <col min="3" max="3" width="17" customWidth="1"/>
    <col min="4" max="4" width="11" customWidth="1"/>
    <col min="5" max="5" width="18.140625" style="8" customWidth="1"/>
    <col min="6" max="6" width="0.42578125" customWidth="1"/>
    <col min="7" max="7" width="19.140625" customWidth="1"/>
    <col min="8" max="8" width="1.140625" customWidth="1"/>
    <col min="9" max="9" width="12.85546875" bestFit="1" customWidth="1"/>
    <col min="10" max="10" width="10.7109375" style="7" customWidth="1"/>
  </cols>
  <sheetData>
    <row r="1" spans="1:12" x14ac:dyDescent="0.25">
      <c r="A1" s="51" t="s">
        <v>9</v>
      </c>
      <c r="B1" s="51"/>
      <c r="C1" s="51"/>
      <c r="D1" s="51"/>
      <c r="E1" s="51"/>
      <c r="F1" s="51"/>
      <c r="G1" s="51"/>
      <c r="H1" s="51"/>
      <c r="I1" s="51"/>
      <c r="J1" s="51"/>
    </row>
    <row r="2" spans="1:12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</row>
    <row r="3" spans="1:12" x14ac:dyDescent="0.25">
      <c r="A3" s="51" t="s">
        <v>64</v>
      </c>
      <c r="B3" s="51"/>
      <c r="C3" s="51"/>
      <c r="D3" s="51"/>
      <c r="E3" s="51"/>
      <c r="F3" s="51"/>
      <c r="G3" s="51"/>
      <c r="H3" s="51"/>
      <c r="I3" s="51"/>
      <c r="J3" s="51"/>
    </row>
    <row r="4" spans="1:12" x14ac:dyDescent="0.25">
      <c r="A4" s="51" t="s">
        <v>65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x14ac:dyDescent="0.25">
      <c r="A5" s="51" t="s">
        <v>66</v>
      </c>
      <c r="B5" s="51"/>
      <c r="C5" s="51"/>
      <c r="D5" s="51"/>
      <c r="E5" s="51"/>
      <c r="F5" s="51"/>
      <c r="G5" s="51"/>
      <c r="H5" s="51"/>
      <c r="I5" s="51"/>
      <c r="J5" s="51"/>
    </row>
    <row r="6" spans="1:12" x14ac:dyDescent="0.25">
      <c r="A6" s="51" t="s">
        <v>37</v>
      </c>
      <c r="B6" s="51"/>
      <c r="C6" s="51"/>
      <c r="D6" s="51"/>
      <c r="E6" s="51"/>
      <c r="F6" s="51"/>
      <c r="G6" s="51"/>
      <c r="H6" s="51"/>
      <c r="I6" s="51"/>
      <c r="J6" s="51"/>
    </row>
    <row r="8" spans="1:12" ht="15" customHeight="1" x14ac:dyDescent="0.25">
      <c r="E8" s="79" t="s">
        <v>67</v>
      </c>
      <c r="G8" s="79" t="s">
        <v>68</v>
      </c>
      <c r="H8" s="80"/>
      <c r="I8" s="81" t="s">
        <v>2</v>
      </c>
      <c r="J8" s="82" t="s">
        <v>3</v>
      </c>
    </row>
    <row r="9" spans="1:12" ht="29.25" customHeight="1" x14ac:dyDescent="0.25">
      <c r="E9" s="79"/>
      <c r="G9" s="79"/>
      <c r="H9" s="83"/>
      <c r="I9" s="81"/>
      <c r="J9" s="82"/>
    </row>
    <row r="10" spans="1:12" ht="15.75" thickBot="1" x14ac:dyDescent="0.3">
      <c r="A10" s="84" t="s">
        <v>69</v>
      </c>
      <c r="B10" s="84"/>
      <c r="C10" s="84"/>
      <c r="D10" s="84"/>
      <c r="E10" s="85">
        <f>+'[1]ESTADO DE FLUJOS DE EFECTVO'!E10/1000</f>
        <v>968508.01800000004</v>
      </c>
      <c r="F10" s="3"/>
      <c r="G10" s="86">
        <f>+'[1]ESTADO DE FLUJOS DE EFECTVO'!G10/1000</f>
        <v>123604.19100000001</v>
      </c>
      <c r="H10" s="87"/>
      <c r="I10" s="88">
        <f>+E10-G10</f>
        <v>844903.82700000005</v>
      </c>
      <c r="J10" s="2">
        <f>+I10/G10*100%</f>
        <v>6.8355597020169006</v>
      </c>
    </row>
    <row r="11" spans="1:12" ht="15.75" thickTop="1" x14ac:dyDescent="0.25">
      <c r="E11" s="11"/>
      <c r="G11" s="32"/>
      <c r="H11" s="89"/>
      <c r="I11" s="88"/>
      <c r="J11" s="2"/>
      <c r="L11">
        <f>+'[2]Hoja de Trabajo Enero - Marzo'!L7+'[2]Hoja de Trabajo Enero - Marzo'!M49</f>
        <v>984168692</v>
      </c>
    </row>
    <row r="12" spans="1:12" x14ac:dyDescent="0.25">
      <c r="A12" s="90" t="s">
        <v>70</v>
      </c>
      <c r="B12" s="90"/>
      <c r="C12" s="90"/>
      <c r="D12" s="90"/>
      <c r="E12" s="3">
        <f>+'[1]ESTADO DE FLUJOS DE EFECTVO'!E12/1000</f>
        <v>4029560.8369999998</v>
      </c>
      <c r="F12" s="91"/>
      <c r="G12" s="92">
        <f>+'[1]ESTADO DE FLUJOS DE EFECTVO'!G12/1000</f>
        <v>1913969.7779999999</v>
      </c>
      <c r="H12" s="89"/>
      <c r="I12" s="21">
        <f t="shared" ref="I12:I34" si="0">+E12-G12</f>
        <v>2115591.0589999999</v>
      </c>
      <c r="J12" s="2">
        <f t="shared" ref="J12:J16" si="1">+I12/G12*100%</f>
        <v>1.1053419355506668</v>
      </c>
    </row>
    <row r="13" spans="1:12" x14ac:dyDescent="0.25">
      <c r="A13" s="90" t="s">
        <v>71</v>
      </c>
      <c r="B13" s="90"/>
      <c r="C13" s="90"/>
      <c r="D13" s="90"/>
      <c r="E13" s="3">
        <f>+'[1]ESTADO DE FLUJOS DE EFECTVO'!E13/1000</f>
        <v>-2766293.872</v>
      </c>
      <c r="F13" s="91"/>
      <c r="G13" s="92">
        <f>+'[1]ESTADO DE FLUJOS DE EFECTVO'!G13/1000</f>
        <v>-1349358.9709999999</v>
      </c>
      <c r="H13" s="89"/>
      <c r="I13" s="21">
        <f t="shared" si="0"/>
        <v>-1416934.9010000001</v>
      </c>
      <c r="J13" s="2">
        <f t="shared" si="1"/>
        <v>1.0500800242576815</v>
      </c>
    </row>
    <row r="14" spans="1:12" x14ac:dyDescent="0.25">
      <c r="A14" s="93" t="s">
        <v>72</v>
      </c>
      <c r="B14" s="93"/>
      <c r="C14" s="93"/>
      <c r="D14" s="93"/>
      <c r="E14" s="3">
        <f>+'[1]ESTADO DE FLUJOS DE EFECTVO'!E14/1000</f>
        <v>1216.6130000000001</v>
      </c>
      <c r="F14" s="91"/>
      <c r="G14" s="92">
        <f>+'[1]ESTADO DE FLUJOS DE EFECTVO'!G14/1000</f>
        <v>649.73800000000006</v>
      </c>
      <c r="H14" s="94"/>
      <c r="I14" s="21">
        <f t="shared" si="0"/>
        <v>566.875</v>
      </c>
      <c r="J14" s="2">
        <f t="shared" si="1"/>
        <v>0.87246705595178353</v>
      </c>
    </row>
    <row r="15" spans="1:12" x14ac:dyDescent="0.25">
      <c r="A15" s="95" t="s">
        <v>73</v>
      </c>
      <c r="B15" s="95"/>
      <c r="C15" s="95"/>
      <c r="D15" s="95"/>
      <c r="E15" s="3">
        <f>+'[1]ESTADO DE FLUJOS DE EFECTVO'!E15/1000</f>
        <v>-310545.41200000001</v>
      </c>
      <c r="F15" s="96"/>
      <c r="G15" s="92">
        <f>+'[1]ESTADO DE FLUJOS DE EFECTVO'!G15/1000</f>
        <v>-181570.01500000001</v>
      </c>
      <c r="H15" s="89"/>
      <c r="I15" s="21">
        <f t="shared" si="0"/>
        <v>-128975.397</v>
      </c>
      <c r="J15" s="2">
        <f t="shared" si="1"/>
        <v>0.71033423112290861</v>
      </c>
    </row>
    <row r="16" spans="1:12" x14ac:dyDescent="0.25">
      <c r="A16" s="96" t="s">
        <v>74</v>
      </c>
      <c r="B16" s="96"/>
      <c r="C16" s="96"/>
      <c r="D16" s="96"/>
      <c r="E16" s="3">
        <f>+'[1]ESTADO DE FLUJOS DE EFECTVO'!E16/1000</f>
        <v>-26167.755000000001</v>
      </c>
      <c r="F16" s="96"/>
      <c r="G16" s="92">
        <f>+'[1]ESTADO DE FLUJOS DE EFECTVO'!G16/1000</f>
        <v>-258461.84899999999</v>
      </c>
      <c r="H16" s="89"/>
      <c r="I16" s="21">
        <f t="shared" si="0"/>
        <v>232294.09399999998</v>
      </c>
      <c r="J16" s="2">
        <f t="shared" si="1"/>
        <v>-0.89875583146509175</v>
      </c>
    </row>
    <row r="17" spans="1:11" x14ac:dyDescent="0.25">
      <c r="A17" s="91" t="s">
        <v>75</v>
      </c>
      <c r="B17" s="91"/>
      <c r="C17" s="91"/>
      <c r="D17" s="91"/>
      <c r="E17" s="3">
        <f>+'[1]ESTADO DE FLUJOS DE EFECTVO'!E17/1000</f>
        <v>40737.607000000004</v>
      </c>
      <c r="F17" s="91"/>
      <c r="G17" s="92">
        <f>+'[1]ESTADO DE FLUJOS DE EFECTVO'!G17/1000</f>
        <v>-1624.49</v>
      </c>
      <c r="H17" s="97"/>
      <c r="I17" s="21">
        <f t="shared" si="0"/>
        <v>42362.097000000002</v>
      </c>
      <c r="J17" s="2">
        <f>+I17/G17*100%</f>
        <v>-26.077166987793092</v>
      </c>
      <c r="K17" s="1"/>
    </row>
    <row r="18" spans="1:11" x14ac:dyDescent="0.25">
      <c r="A18" s="91"/>
      <c r="B18" s="91"/>
      <c r="C18" s="91"/>
      <c r="D18" s="91"/>
      <c r="E18" s="3"/>
      <c r="F18" s="91"/>
      <c r="G18" s="92"/>
      <c r="H18" s="97"/>
      <c r="I18" s="21"/>
      <c r="J18" s="2"/>
      <c r="K18" s="1"/>
    </row>
    <row r="19" spans="1:11" ht="15.75" thickBot="1" x14ac:dyDescent="0.3">
      <c r="A19" s="98" t="s">
        <v>76</v>
      </c>
      <c r="B19" s="98"/>
      <c r="C19" s="98"/>
      <c r="D19" s="98"/>
      <c r="E19" s="85">
        <f>+'[1]ESTADO DE FLUJOS DE EFECTVO'!E18/1000</f>
        <v>-5909.7619999999997</v>
      </c>
      <c r="F19" s="99"/>
      <c r="G19" s="86">
        <f>+'[1]ESTADO DE FLUJOS DE EFECTVO'!G18/1000</f>
        <v>-431246.37699999998</v>
      </c>
      <c r="H19" s="87"/>
      <c r="I19" s="88">
        <f t="shared" si="0"/>
        <v>425336.61499999999</v>
      </c>
      <c r="J19" s="2">
        <f t="shared" ref="J19:J23" si="2">+I19/G19*100%</f>
        <v>-0.98629608892922949</v>
      </c>
    </row>
    <row r="20" spans="1:11" ht="15.75" thickTop="1" x14ac:dyDescent="0.25">
      <c r="A20" s="100"/>
      <c r="B20" s="100"/>
      <c r="C20" s="100"/>
      <c r="D20" s="100"/>
      <c r="E20" s="11"/>
      <c r="F20" s="99"/>
      <c r="G20" s="32"/>
      <c r="H20" s="87"/>
      <c r="I20" s="21"/>
      <c r="J20" s="101"/>
    </row>
    <row r="21" spans="1:11" x14ac:dyDescent="0.25">
      <c r="A21" s="91" t="s">
        <v>77</v>
      </c>
      <c r="B21" s="91"/>
      <c r="C21" s="91"/>
      <c r="D21" s="91"/>
      <c r="E21" s="3">
        <f>+'[1]ESTADO DE FLUJOS DE EFECTVO'!E20/1000</f>
        <v>-36617.5</v>
      </c>
      <c r="F21" s="91"/>
      <c r="G21" s="92">
        <f>+'[1]ESTADO DE FLUJOS DE EFECTVO'!G20/1000</f>
        <v>-902300</v>
      </c>
      <c r="H21" s="94"/>
      <c r="I21" s="21">
        <f t="shared" si="0"/>
        <v>865682.5</v>
      </c>
      <c r="J21" s="101" t="s">
        <v>78</v>
      </c>
    </row>
    <row r="22" spans="1:11" x14ac:dyDescent="0.25">
      <c r="A22" s="90" t="s">
        <v>79</v>
      </c>
      <c r="B22" s="90"/>
      <c r="C22" s="90"/>
      <c r="D22" s="90"/>
      <c r="E22" s="3">
        <f>+'[1]ESTADO DE FLUJOS DE EFECTVO'!E21/1000</f>
        <v>13437.5</v>
      </c>
      <c r="F22" s="91"/>
      <c r="G22" s="92">
        <f>+'[1]ESTADO DE FLUJOS DE EFECTVO'!G21/1000</f>
        <v>-38.704000000000001</v>
      </c>
      <c r="H22" s="94"/>
      <c r="I22" s="21">
        <f t="shared" si="0"/>
        <v>13476.204</v>
      </c>
      <c r="J22" s="2">
        <f t="shared" si="2"/>
        <v>-348.18633732947495</v>
      </c>
    </row>
    <row r="23" spans="1:11" x14ac:dyDescent="0.25">
      <c r="A23" s="90" t="s">
        <v>80</v>
      </c>
      <c r="B23" s="90"/>
      <c r="C23" s="90"/>
      <c r="D23" s="90"/>
      <c r="E23" s="3">
        <f>+'[1]ESTADO DE FLUJOS DE EFECTVO'!E22/1000</f>
        <v>1030.3440000000001</v>
      </c>
      <c r="F23" s="91"/>
      <c r="G23" s="92">
        <f>+'[1]ESTADO DE FLUJOS DE EFECTVO'!G22/1000</f>
        <v>465421.76400000002</v>
      </c>
      <c r="H23" s="94"/>
      <c r="I23" s="21">
        <f t="shared" si="0"/>
        <v>-464391.42000000004</v>
      </c>
      <c r="J23" s="2">
        <f t="shared" si="2"/>
        <v>-0.99778621439800141</v>
      </c>
    </row>
    <row r="24" spans="1:11" x14ac:dyDescent="0.25">
      <c r="A24" s="90" t="s">
        <v>81</v>
      </c>
      <c r="B24" s="90"/>
      <c r="C24" s="90"/>
      <c r="D24" s="90"/>
      <c r="E24" s="3">
        <f>+'[1]ESTADO DE FLUJOS DE EFECTVO'!E23/1000</f>
        <v>16239.894</v>
      </c>
      <c r="F24" s="91"/>
      <c r="G24" s="92">
        <f>+'[1]ESTADO DE FLUJOS DE EFECTVO'!G23/1000</f>
        <v>5670.5630000000001</v>
      </c>
      <c r="H24" s="94"/>
      <c r="I24" s="21">
        <f t="shared" si="0"/>
        <v>10569.331</v>
      </c>
      <c r="J24" s="101" t="s">
        <v>78</v>
      </c>
    </row>
    <row r="25" spans="1:11" x14ac:dyDescent="0.25">
      <c r="A25" s="90"/>
      <c r="B25" s="90"/>
      <c r="C25" s="90"/>
      <c r="D25" s="90"/>
      <c r="E25" s="11"/>
      <c r="F25" s="91"/>
      <c r="G25" s="32"/>
      <c r="H25" s="94"/>
      <c r="I25" s="21">
        <f t="shared" si="0"/>
        <v>0</v>
      </c>
      <c r="J25" s="101" t="s">
        <v>78</v>
      </c>
    </row>
    <row r="26" spans="1:11" ht="15.75" thickBot="1" x14ac:dyDescent="0.3">
      <c r="A26" s="84" t="s">
        <v>82</v>
      </c>
      <c r="B26" s="84"/>
      <c r="C26" s="84"/>
      <c r="D26" s="84"/>
      <c r="E26" s="85">
        <f>+'[1]ESTADO DE FLUJOS DE EFECTVO'!E26/1000</f>
        <v>-56824.987364563298</v>
      </c>
      <c r="G26" s="86">
        <f>+'[1]ESTADO DE FLUJOS DE EFECTVO'!G26/1000</f>
        <v>263517.44699999999</v>
      </c>
      <c r="H26" s="102"/>
      <c r="I26" s="88">
        <f t="shared" si="0"/>
        <v>-320342.43436456326</v>
      </c>
      <c r="J26" s="2">
        <f>+I26/G26*100%</f>
        <v>-1.2156403229140396</v>
      </c>
    </row>
    <row r="27" spans="1:11" ht="15.75" thickTop="1" x14ac:dyDescent="0.25">
      <c r="A27" s="103"/>
      <c r="B27" s="103"/>
      <c r="C27" s="103"/>
      <c r="D27" s="103"/>
      <c r="E27" s="11">
        <f>+'[1]ESTADO DE FLUJOS DE EFECTVO'!E27/1000</f>
        <v>0</v>
      </c>
      <c r="G27" s="32">
        <f>+'[1]ESTADO DE FLUJOS DE EFECTVO'!G27/1000</f>
        <v>0</v>
      </c>
      <c r="H27" s="102"/>
      <c r="I27" s="21"/>
      <c r="J27" s="2"/>
    </row>
    <row r="28" spans="1:11" x14ac:dyDescent="0.25">
      <c r="A28" s="104" t="s">
        <v>83</v>
      </c>
      <c r="B28" s="103"/>
      <c r="C28" s="103"/>
      <c r="D28" s="103"/>
      <c r="E28" s="11">
        <f>+'[1]ESTADO DE FLUJOS DE EFECTVO'!E28/1000</f>
        <v>0</v>
      </c>
      <c r="G28" s="32">
        <f>+'[1]ESTADO DE FLUJOS DE EFECTVO'!G28/1000</f>
        <v>170000</v>
      </c>
      <c r="H28" s="102"/>
      <c r="I28" s="21">
        <f t="shared" si="0"/>
        <v>-170000</v>
      </c>
      <c r="J28" s="2">
        <f t="shared" ref="J28:J34" si="3">+I28/G28*100%</f>
        <v>-1</v>
      </c>
    </row>
    <row r="29" spans="1:11" x14ac:dyDescent="0.25">
      <c r="A29" s="104" t="s">
        <v>84</v>
      </c>
      <c r="B29" s="103"/>
      <c r="C29" s="103"/>
      <c r="D29" s="103"/>
      <c r="E29" s="11">
        <f>+'[1]ESTADO DE FLUJOS DE EFECTVO'!E29/1000</f>
        <v>-46847.5163645633</v>
      </c>
      <c r="G29" s="32">
        <f>+'[1]ESTADO DE FLUJOS DE EFECTVO'!G29/1000</f>
        <v>114545.584</v>
      </c>
      <c r="H29" s="102"/>
      <c r="I29" s="21">
        <f t="shared" si="0"/>
        <v>-161393.10036456329</v>
      </c>
      <c r="J29" s="2">
        <f t="shared" si="3"/>
        <v>-1.4089857917574831</v>
      </c>
    </row>
    <row r="30" spans="1:11" x14ac:dyDescent="0.25">
      <c r="A30" s="105" t="s">
        <v>85</v>
      </c>
      <c r="B30" s="105"/>
      <c r="C30" s="105"/>
      <c r="D30" s="105"/>
      <c r="E30" s="11">
        <f>+'[1]ESTADO DE FLUJOS DE EFECTVO'!E30/1000</f>
        <v>-9977.4709999999995</v>
      </c>
      <c r="G30" s="32">
        <f>+'[1]ESTADO DE FLUJOS DE EFECTVO'!G30/1000</f>
        <v>-21028.136999999999</v>
      </c>
      <c r="H30" s="106"/>
      <c r="I30" s="21">
        <f t="shared" si="0"/>
        <v>11050.665999999999</v>
      </c>
      <c r="J30" s="2">
        <f t="shared" si="3"/>
        <v>-0.52551807133461226</v>
      </c>
    </row>
    <row r="31" spans="1:11" x14ac:dyDescent="0.25">
      <c r="A31" s="105"/>
      <c r="B31" s="105"/>
      <c r="C31" s="105"/>
      <c r="D31" s="105"/>
      <c r="E31" s="11"/>
      <c r="G31" s="32"/>
      <c r="H31" s="106"/>
      <c r="I31" s="21"/>
      <c r="J31" s="101"/>
    </row>
    <row r="32" spans="1:11" x14ac:dyDescent="0.25">
      <c r="A32" s="84" t="s">
        <v>86</v>
      </c>
      <c r="B32" s="84"/>
      <c r="C32" s="84"/>
      <c r="D32" s="84"/>
      <c r="E32" s="11">
        <f>+'[1]ESTADO DE FLUJOS DE EFECTVO'!E33/1000</f>
        <v>905773.26863543666</v>
      </c>
      <c r="G32" s="32">
        <f>+'[1]ESTADO DE FLUJOS DE EFECTVO'!G33/1000</f>
        <v>-44124.739000000001</v>
      </c>
      <c r="H32" s="107"/>
      <c r="I32" s="88">
        <f t="shared" si="0"/>
        <v>949898.00763543672</v>
      </c>
      <c r="J32" s="2">
        <f t="shared" si="3"/>
        <v>-21.527560936630962</v>
      </c>
    </row>
    <row r="33" spans="1:11" ht="15.75" thickBot="1" x14ac:dyDescent="0.3">
      <c r="A33" s="84" t="s">
        <v>87</v>
      </c>
      <c r="B33" s="84"/>
      <c r="C33" s="84"/>
      <c r="D33" s="84"/>
      <c r="E33" s="108">
        <f>+'[1]ESTADO DE FLUJOS DE EFECTVO'!E34/1000</f>
        <v>683301.63100000005</v>
      </c>
      <c r="G33" s="109">
        <f>+'[1]ESTADO DE FLUJOS DE EFECTVO'!G34/1000</f>
        <v>727426.37</v>
      </c>
      <c r="H33" s="87"/>
      <c r="I33" s="88">
        <f t="shared" si="0"/>
        <v>-44124.738999999943</v>
      </c>
      <c r="J33" s="2">
        <f t="shared" si="3"/>
        <v>-6.0658701443556333E-2</v>
      </c>
    </row>
    <row r="34" spans="1:11" ht="15.75" thickTop="1" x14ac:dyDescent="0.25">
      <c r="A34" s="84" t="s">
        <v>88</v>
      </c>
      <c r="B34" s="84"/>
      <c r="C34" s="84"/>
      <c r="D34" s="84"/>
      <c r="E34" s="11">
        <f>+'[1]ESTADO DE FLUJOS DE EFECTVO'!E35/1000</f>
        <v>1589074.8996354365</v>
      </c>
      <c r="G34" s="32">
        <f>+'[1]ESTADO DE FLUJOS DE EFECTVO'!G35/1000</f>
        <v>683301.63100000005</v>
      </c>
      <c r="H34" s="107"/>
      <c r="I34" s="88">
        <f t="shared" si="0"/>
        <v>905773.26863543643</v>
      </c>
      <c r="J34" s="2">
        <f t="shared" si="3"/>
        <v>1.325583355201206</v>
      </c>
    </row>
    <row r="35" spans="1:11" ht="15.75" thickBot="1" x14ac:dyDescent="0.3">
      <c r="F35" s="50"/>
      <c r="H35" s="97"/>
    </row>
    <row r="36" spans="1:11" ht="15.75" thickBot="1" x14ac:dyDescent="0.3">
      <c r="A36" s="110" t="s">
        <v>89</v>
      </c>
      <c r="B36" s="111"/>
      <c r="C36" s="111"/>
      <c r="D36" s="111"/>
      <c r="E36" s="111"/>
      <c r="F36" s="111"/>
      <c r="G36" s="111"/>
      <c r="H36" s="111"/>
      <c r="I36" s="111"/>
      <c r="J36" s="112"/>
    </row>
    <row r="39" spans="1:11" x14ac:dyDescent="0.25">
      <c r="E39"/>
      <c r="G39" s="77"/>
      <c r="H39" s="77"/>
      <c r="I39" s="77"/>
      <c r="J39" s="2"/>
    </row>
    <row r="40" spans="1:11" x14ac:dyDescent="0.25">
      <c r="A40" t="s">
        <v>4</v>
      </c>
      <c r="E40"/>
      <c r="F40" s="77" t="s">
        <v>5</v>
      </c>
      <c r="G40" s="77"/>
      <c r="H40" s="77"/>
      <c r="I40" s="77"/>
      <c r="J40" s="77"/>
    </row>
    <row r="41" spans="1:11" x14ac:dyDescent="0.25">
      <c r="A41" s="4" t="s">
        <v>6</v>
      </c>
      <c r="E41"/>
      <c r="F41" s="78" t="s">
        <v>7</v>
      </c>
      <c r="G41" s="78"/>
      <c r="H41" s="78"/>
      <c r="I41" s="78"/>
      <c r="J41" s="78"/>
    </row>
    <row r="42" spans="1:11" x14ac:dyDescent="0.25">
      <c r="E42"/>
      <c r="F42" s="78" t="s">
        <v>8</v>
      </c>
      <c r="G42" s="78"/>
      <c r="H42" s="78"/>
      <c r="I42" s="78"/>
      <c r="J42" s="78"/>
    </row>
    <row r="44" spans="1:11" x14ac:dyDescent="0.25">
      <c r="K44" s="1"/>
    </row>
    <row r="45" spans="1:11" x14ac:dyDescent="0.25">
      <c r="K45" s="1"/>
    </row>
    <row r="46" spans="1:11" x14ac:dyDescent="0.25">
      <c r="K46" s="1"/>
    </row>
    <row r="47" spans="1:11" x14ac:dyDescent="0.25">
      <c r="K47" s="1"/>
    </row>
    <row r="48" spans="1:11" x14ac:dyDescent="0.25">
      <c r="K48" s="1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A34:D34"/>
    <mergeCell ref="A36:J36"/>
    <mergeCell ref="G39:I39"/>
    <mergeCell ref="F40:J40"/>
    <mergeCell ref="F41:J41"/>
    <mergeCell ref="F42:J42"/>
    <mergeCell ref="A25:D25"/>
    <mergeCell ref="A26:D26"/>
    <mergeCell ref="A30:D30"/>
    <mergeCell ref="A31:D31"/>
    <mergeCell ref="A32:D32"/>
    <mergeCell ref="A33:D33"/>
    <mergeCell ref="A13:D13"/>
    <mergeCell ref="A15:D15"/>
    <mergeCell ref="A19:D19"/>
    <mergeCell ref="A22:D22"/>
    <mergeCell ref="A23:D23"/>
    <mergeCell ref="A24:D24"/>
    <mergeCell ref="E8:E9"/>
    <mergeCell ref="G8:G9"/>
    <mergeCell ref="I8:I9"/>
    <mergeCell ref="J8:J9"/>
    <mergeCell ref="A10:D10"/>
    <mergeCell ref="A12:D1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ACC1-57E9-4CEA-9E1F-00F97FA5C167}">
  <dimension ref="A1:V52"/>
  <sheetViews>
    <sheetView showGridLines="0" zoomScale="80" zoomScaleNormal="80" workbookViewId="0">
      <selection activeCell="B3" sqref="B3:L3"/>
    </sheetView>
  </sheetViews>
  <sheetFormatPr defaultColWidth="11.42578125" defaultRowHeight="15" x14ac:dyDescent="0.25"/>
  <cols>
    <col min="1" max="1" width="4.5703125" customWidth="1"/>
    <col min="2" max="2" width="31.28515625" style="7" customWidth="1"/>
    <col min="3" max="3" width="6.140625" style="7" customWidth="1"/>
    <col min="4" max="5" width="15.140625" style="7" customWidth="1"/>
    <col min="6" max="6" width="16.42578125" style="7" bestFit="1" customWidth="1"/>
    <col min="7" max="7" width="16.42578125" style="7" customWidth="1"/>
    <col min="8" max="8" width="15.28515625" style="7" customWidth="1"/>
    <col min="9" max="9" width="15.5703125" style="7" customWidth="1"/>
    <col min="10" max="10" width="20" style="7" customWidth="1"/>
    <col min="11" max="11" width="16.28515625" style="7" customWidth="1"/>
    <col min="12" max="12" width="16" style="7" bestFit="1" customWidth="1"/>
    <col min="13" max="13" width="17.7109375" style="7" customWidth="1"/>
    <col min="14" max="14" width="13" hidden="1" customWidth="1"/>
    <col min="15" max="15" width="0" hidden="1" customWidth="1"/>
  </cols>
  <sheetData>
    <row r="1" spans="1:22" x14ac:dyDescent="0.25">
      <c r="B1" s="82" t="s">
        <v>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36"/>
    </row>
    <row r="2" spans="1:22" x14ac:dyDescent="0.25">
      <c r="B2" s="82" t="s">
        <v>90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36"/>
    </row>
    <row r="3" spans="1:22" x14ac:dyDescent="0.25">
      <c r="B3" s="82" t="s">
        <v>91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36"/>
    </row>
    <row r="4" spans="1:22" x14ac:dyDescent="0.25">
      <c r="B4" s="82" t="s">
        <v>92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36"/>
    </row>
    <row r="5" spans="1:22" x14ac:dyDescent="0.25">
      <c r="B5" s="82" t="s">
        <v>93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36"/>
    </row>
    <row r="6" spans="1:22" ht="15.75" thickBot="1" x14ac:dyDescent="0.3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2" ht="15.75" thickBot="1" x14ac:dyDescent="0.3">
      <c r="B7" s="113" t="s">
        <v>94</v>
      </c>
      <c r="C7" s="114"/>
      <c r="D7" s="114"/>
      <c r="E7" s="114"/>
      <c r="F7" s="114"/>
      <c r="G7" s="114"/>
      <c r="H7" s="114"/>
      <c r="I7" s="114"/>
      <c r="J7" s="114"/>
      <c r="K7" s="114"/>
      <c r="L7" s="115"/>
    </row>
    <row r="8" spans="1:22" ht="45.75" thickBot="1" x14ac:dyDescent="0.3">
      <c r="B8" s="116"/>
      <c r="C8" s="117"/>
      <c r="D8" s="118" t="s">
        <v>95</v>
      </c>
      <c r="E8" s="118" t="s">
        <v>96</v>
      </c>
      <c r="F8" s="118" t="s">
        <v>97</v>
      </c>
      <c r="G8" s="118" t="s">
        <v>98</v>
      </c>
      <c r="H8" s="118" t="s">
        <v>99</v>
      </c>
      <c r="I8" s="118" t="s">
        <v>100</v>
      </c>
      <c r="J8" s="118" t="s">
        <v>101</v>
      </c>
      <c r="K8" s="118" t="s">
        <v>102</v>
      </c>
      <c r="L8" s="119" t="s">
        <v>103</v>
      </c>
      <c r="M8"/>
    </row>
    <row r="9" spans="1:22" ht="15.75" thickTop="1" x14ac:dyDescent="0.25">
      <c r="B9" s="120" t="s">
        <v>104</v>
      </c>
      <c r="C9" s="121"/>
      <c r="D9" s="122">
        <f>530000000/1000</f>
        <v>530000</v>
      </c>
      <c r="E9" s="122">
        <v>170000</v>
      </c>
      <c r="F9" s="122">
        <f>50000000/1000</f>
        <v>50000</v>
      </c>
      <c r="G9" s="122">
        <f>45690000/1000</f>
        <v>45690</v>
      </c>
      <c r="H9" s="122">
        <f>27181074/1000</f>
        <v>27181.074000000001</v>
      </c>
      <c r="I9" s="122">
        <f>4576804/1000</f>
        <v>4576.8040000000001</v>
      </c>
      <c r="J9" s="122">
        <f>280120809/1000</f>
        <v>280120.80900000001</v>
      </c>
      <c r="K9" s="123">
        <f>248057044/1000</f>
        <v>248057.04399999999</v>
      </c>
      <c r="L9" s="124">
        <f>+SUM(D9:K9)</f>
        <v>1355625.7309999999</v>
      </c>
      <c r="M9"/>
    </row>
    <row r="10" spans="1:22" ht="30" x14ac:dyDescent="0.25">
      <c r="B10" s="125" t="s">
        <v>105</v>
      </c>
      <c r="C10" s="126"/>
      <c r="D10" s="127" t="s">
        <v>106</v>
      </c>
      <c r="E10" s="127"/>
      <c r="F10" s="127"/>
      <c r="G10" s="127"/>
      <c r="H10" s="127"/>
      <c r="I10" s="127"/>
      <c r="J10" s="127">
        <f>-J9</f>
        <v>-280120.80900000001</v>
      </c>
      <c r="K10" s="127">
        <f>-J10</f>
        <v>280120.80900000001</v>
      </c>
      <c r="L10" s="128">
        <v>0</v>
      </c>
      <c r="M10"/>
    </row>
    <row r="11" spans="1:22" x14ac:dyDescent="0.25">
      <c r="B11" s="129" t="s">
        <v>107</v>
      </c>
      <c r="C11" s="130"/>
      <c r="D11" s="131">
        <f>170000000/1000</f>
        <v>170000</v>
      </c>
      <c r="E11" s="127">
        <v>-170000</v>
      </c>
      <c r="F11" s="127"/>
      <c r="G11" s="127"/>
      <c r="H11" s="127">
        <f>28012081/1000</f>
        <v>28012.080999999998</v>
      </c>
      <c r="I11" s="127"/>
      <c r="J11" s="127"/>
      <c r="K11" s="127">
        <f>-H11</f>
        <v>-28012.080999999998</v>
      </c>
      <c r="L11" s="128">
        <f t="shared" ref="L11:L13" si="0">+SUM(D11:K11)</f>
        <v>0</v>
      </c>
      <c r="M11"/>
    </row>
    <row r="12" spans="1:22" x14ac:dyDescent="0.25">
      <c r="B12" s="129" t="s">
        <v>108</v>
      </c>
      <c r="C12" s="130"/>
      <c r="D12" s="131"/>
      <c r="E12" s="127"/>
      <c r="F12" s="127"/>
      <c r="G12" s="127"/>
      <c r="H12" s="127"/>
      <c r="I12" s="127"/>
      <c r="J12" s="127"/>
      <c r="K12" s="127"/>
      <c r="L12" s="128">
        <f t="shared" si="0"/>
        <v>0</v>
      </c>
      <c r="M12"/>
    </row>
    <row r="13" spans="1:22" s="167" customFormat="1" ht="15.75" thickBot="1" x14ac:dyDescent="0.3">
      <c r="A13"/>
      <c r="B13" s="129" t="s">
        <v>109</v>
      </c>
      <c r="C13" s="130"/>
      <c r="D13" s="131"/>
      <c r="E13" s="127"/>
      <c r="F13" s="127"/>
      <c r="G13" s="127"/>
      <c r="H13" s="127"/>
      <c r="I13" s="127">
        <f>-38704/1000</f>
        <v>-38.704000000000001</v>
      </c>
      <c r="J13" s="127"/>
      <c r="K13" s="132"/>
      <c r="L13" s="133">
        <f t="shared" si="0"/>
        <v>-38.704000000000001</v>
      </c>
      <c r="M13"/>
      <c r="N13"/>
      <c r="O13" s="134"/>
      <c r="P13" s="166"/>
      <c r="Q13" s="166"/>
      <c r="R13" s="166"/>
      <c r="S13" s="166"/>
      <c r="T13" s="166"/>
      <c r="U13" s="166"/>
      <c r="V13" s="166"/>
    </row>
    <row r="14" spans="1:22" ht="30" x14ac:dyDescent="0.25">
      <c r="B14" s="129" t="s">
        <v>110</v>
      </c>
      <c r="C14" s="130"/>
      <c r="D14" s="135"/>
      <c r="E14" s="136"/>
      <c r="F14" s="135"/>
      <c r="G14" s="135"/>
      <c r="H14" s="135"/>
      <c r="I14" s="135"/>
      <c r="J14" s="135">
        <v>423613</v>
      </c>
      <c r="K14" s="135"/>
      <c r="L14" s="137">
        <f t="shared" ref="L14" si="1">SUM(D14:K14)</f>
        <v>423613</v>
      </c>
      <c r="M14"/>
    </row>
    <row r="15" spans="1:22" ht="15.75" thickBot="1" x14ac:dyDescent="0.3">
      <c r="B15" s="138" t="s">
        <v>111</v>
      </c>
      <c r="C15" s="139"/>
      <c r="D15" s="140">
        <f t="shared" ref="D15:L15" si="2">+SUM(D9:D14)</f>
        <v>700000</v>
      </c>
      <c r="E15" s="140">
        <f t="shared" si="2"/>
        <v>0</v>
      </c>
      <c r="F15" s="140">
        <f t="shared" si="2"/>
        <v>50000</v>
      </c>
      <c r="G15" s="140">
        <f t="shared" si="2"/>
        <v>45690</v>
      </c>
      <c r="H15" s="140">
        <f t="shared" si="2"/>
        <v>55193.154999999999</v>
      </c>
      <c r="I15" s="140">
        <f t="shared" si="2"/>
        <v>4538.1000000000004</v>
      </c>
      <c r="J15" s="140">
        <f t="shared" si="2"/>
        <v>423613</v>
      </c>
      <c r="K15" s="140">
        <f t="shared" si="2"/>
        <v>500165.772</v>
      </c>
      <c r="L15" s="141">
        <f t="shared" si="2"/>
        <v>1779200.027</v>
      </c>
      <c r="M15" s="50"/>
    </row>
    <row r="16" spans="1:22" ht="15.75" thickBot="1" x14ac:dyDescent="0.3">
      <c r="B16" s="142" t="s">
        <v>112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4"/>
      <c r="M16" s="145"/>
    </row>
    <row r="17" spans="2:14" x14ac:dyDescent="0.25">
      <c r="B17" s="146" t="s">
        <v>113</v>
      </c>
      <c r="C17" s="147"/>
      <c r="D17" s="148">
        <f t="shared" ref="D17:K17" si="3">+D15</f>
        <v>700000</v>
      </c>
      <c r="E17" s="149">
        <f t="shared" si="3"/>
        <v>0</v>
      </c>
      <c r="F17" s="149">
        <f t="shared" si="3"/>
        <v>50000</v>
      </c>
      <c r="G17" s="149">
        <f t="shared" si="3"/>
        <v>45690</v>
      </c>
      <c r="H17" s="149">
        <f t="shared" si="3"/>
        <v>55193.154999999999</v>
      </c>
      <c r="I17" s="149">
        <f t="shared" si="3"/>
        <v>4538.1000000000004</v>
      </c>
      <c r="J17" s="149">
        <f t="shared" si="3"/>
        <v>423613</v>
      </c>
      <c r="K17" s="149">
        <f t="shared" si="3"/>
        <v>500165.772</v>
      </c>
      <c r="L17" s="150">
        <f>SUM(D17:K17)</f>
        <v>1779200.0269999998</v>
      </c>
      <c r="M17" s="145"/>
    </row>
    <row r="18" spans="2:14" ht="15.75" thickBot="1" x14ac:dyDescent="0.3">
      <c r="B18" s="151" t="s">
        <v>114</v>
      </c>
      <c r="C18" s="152"/>
      <c r="D18" s="153"/>
      <c r="E18" s="154"/>
      <c r="F18" s="154"/>
      <c r="G18" s="154"/>
      <c r="H18" s="154"/>
      <c r="I18" s="154"/>
      <c r="J18" s="155">
        <f>-J17</f>
        <v>-423613</v>
      </c>
      <c r="K18" s="155">
        <f>+J17</f>
        <v>423613</v>
      </c>
      <c r="L18" s="128">
        <f t="shared" ref="L18" si="4">SUM(D18:K18)</f>
        <v>0</v>
      </c>
      <c r="M18" s="145"/>
      <c r="N18" s="156"/>
    </row>
    <row r="19" spans="2:14" ht="30" customHeight="1" x14ac:dyDescent="0.25">
      <c r="B19" s="157" t="s">
        <v>99</v>
      </c>
      <c r="C19" s="158"/>
      <c r="D19" s="153"/>
      <c r="E19" s="154"/>
      <c r="F19" s="159"/>
      <c r="G19" s="159"/>
      <c r="H19" s="155">
        <f>42361377/1000</f>
        <v>42361.377</v>
      </c>
      <c r="I19" s="159"/>
      <c r="J19" s="159"/>
      <c r="K19" s="155">
        <f>-H19</f>
        <v>-42361.377</v>
      </c>
      <c r="L19" s="128">
        <f>SUM(D19:K19)</f>
        <v>0</v>
      </c>
      <c r="M19" s="145"/>
      <c r="N19" s="160">
        <f>288431459</f>
        <v>288431459</v>
      </c>
    </row>
    <row r="20" spans="2:14" x14ac:dyDescent="0.25">
      <c r="B20" s="157" t="s">
        <v>115</v>
      </c>
      <c r="C20" s="158"/>
      <c r="D20" s="153"/>
      <c r="E20" s="154"/>
      <c r="F20" s="159"/>
      <c r="G20" s="159"/>
      <c r="H20" s="159"/>
      <c r="I20" s="155">
        <f>13437500/1000</f>
        <v>13437.5</v>
      </c>
      <c r="J20" s="159"/>
      <c r="K20" s="159"/>
      <c r="L20" s="161">
        <f t="shared" ref="L20:L21" si="5">SUM(D20:K20)</f>
        <v>13437.5</v>
      </c>
      <c r="M20" s="145"/>
      <c r="N20" s="160">
        <f>135181599</f>
        <v>135181599</v>
      </c>
    </row>
    <row r="21" spans="2:14" x14ac:dyDescent="0.25">
      <c r="B21" s="151" t="s">
        <v>116</v>
      </c>
      <c r="C21" s="152"/>
      <c r="D21" s="153"/>
      <c r="E21" s="154"/>
      <c r="F21" s="159"/>
      <c r="G21" s="159"/>
      <c r="H21" s="159"/>
      <c r="I21" s="159"/>
      <c r="J21" s="155">
        <f>534622569/1000</f>
        <v>534622.56900000002</v>
      </c>
      <c r="K21" s="159"/>
      <c r="L21" s="161">
        <f t="shared" si="5"/>
        <v>534622.56900000002</v>
      </c>
      <c r="M21" s="145"/>
      <c r="N21" s="162">
        <f>+N20+N19</f>
        <v>423613058</v>
      </c>
    </row>
    <row r="22" spans="2:14" ht="30" customHeight="1" thickBot="1" x14ac:dyDescent="0.3">
      <c r="B22" s="163" t="s">
        <v>117</v>
      </c>
      <c r="C22" s="164"/>
      <c r="D22" s="165">
        <f>+SUM(D17:D21)</f>
        <v>700000</v>
      </c>
      <c r="E22" s="140">
        <f t="shared" ref="E22:K22" si="6">+SUM(E17:E21)</f>
        <v>0</v>
      </c>
      <c r="F22" s="140">
        <f t="shared" si="6"/>
        <v>50000</v>
      </c>
      <c r="G22" s="140">
        <f t="shared" si="6"/>
        <v>45690</v>
      </c>
      <c r="H22" s="140">
        <f t="shared" si="6"/>
        <v>97554.532000000007</v>
      </c>
      <c r="I22" s="140">
        <f t="shared" si="6"/>
        <v>17975.599999999999</v>
      </c>
      <c r="J22" s="140">
        <f t="shared" si="6"/>
        <v>534622.56900000002</v>
      </c>
      <c r="K22" s="140">
        <f t="shared" si="6"/>
        <v>881417.39500000002</v>
      </c>
      <c r="L22" s="141">
        <f>+ROUNDDOWN(SUM(L17:L21),0)</f>
        <v>2327260</v>
      </c>
      <c r="M22" s="145"/>
      <c r="N22">
        <f>+N21/1000</f>
        <v>423613.05800000002</v>
      </c>
    </row>
    <row r="23" spans="2:14" x14ac:dyDescent="0.25">
      <c r="F23" s="145"/>
      <c r="G23" s="145"/>
      <c r="H23" s="145"/>
      <c r="I23" s="145"/>
      <c r="J23" s="145"/>
      <c r="K23" s="145"/>
      <c r="L23" s="145"/>
      <c r="M23" s="145"/>
      <c r="N23" s="3"/>
    </row>
    <row r="24" spans="2:14" x14ac:dyDescent="0.25">
      <c r="F24" s="145"/>
      <c r="G24" s="145"/>
      <c r="H24" s="145"/>
      <c r="I24" s="145"/>
      <c r="J24" s="145"/>
      <c r="K24" s="145"/>
      <c r="L24" s="145"/>
      <c r="M24" s="145"/>
    </row>
    <row r="25" spans="2:14" x14ac:dyDescent="0.25">
      <c r="F25" s="145"/>
      <c r="G25" s="145"/>
      <c r="H25" s="145"/>
      <c r="I25" s="145"/>
      <c r="J25" s="145"/>
      <c r="K25" s="145"/>
      <c r="L25" s="145"/>
      <c r="M25" s="145"/>
    </row>
    <row r="26" spans="2:14" x14ac:dyDescent="0.25">
      <c r="F26" s="145"/>
      <c r="G26" s="145"/>
      <c r="H26" s="145"/>
      <c r="I26" s="145"/>
      <c r="J26" s="145"/>
      <c r="K26" s="145"/>
      <c r="L26" s="145"/>
      <c r="M26" s="145"/>
    </row>
    <row r="27" spans="2:14" x14ac:dyDescent="0.25">
      <c r="F27" s="145"/>
      <c r="G27" s="145"/>
      <c r="H27" s="145"/>
      <c r="I27" s="145"/>
      <c r="J27" s="145"/>
      <c r="K27" s="145"/>
      <c r="L27" s="145"/>
      <c r="M27" s="145"/>
    </row>
    <row r="28" spans="2:14" x14ac:dyDescent="0.25">
      <c r="F28" s="145"/>
      <c r="G28" s="145"/>
      <c r="H28" s="145"/>
      <c r="I28" s="145"/>
      <c r="J28" s="145"/>
      <c r="K28" s="145"/>
      <c r="L28" s="145"/>
      <c r="M28" s="145"/>
    </row>
    <row r="29" spans="2:14" x14ac:dyDescent="0.25">
      <c r="F29" s="145"/>
      <c r="G29" s="145"/>
      <c r="H29" s="145"/>
      <c r="I29" s="145"/>
      <c r="J29" s="145"/>
      <c r="K29" s="145"/>
      <c r="L29" s="145"/>
      <c r="M29" s="145"/>
    </row>
    <row r="30" spans="2:14" x14ac:dyDescent="0.25">
      <c r="F30" s="145"/>
      <c r="G30" s="145"/>
      <c r="H30" s="145"/>
      <c r="I30" s="145"/>
      <c r="J30" s="145"/>
      <c r="K30" s="145"/>
      <c r="L30" s="145"/>
      <c r="M30" s="145"/>
    </row>
    <row r="31" spans="2:14" x14ac:dyDescent="0.25">
      <c r="F31" s="145"/>
      <c r="G31" s="145"/>
      <c r="H31" s="145"/>
      <c r="I31" s="145"/>
      <c r="J31" s="145"/>
      <c r="K31" s="145"/>
      <c r="L31" s="145"/>
      <c r="M31" s="145"/>
    </row>
    <row r="32" spans="2:14" x14ac:dyDescent="0.25">
      <c r="F32" s="145"/>
      <c r="G32" s="145"/>
      <c r="H32" s="145"/>
      <c r="I32" s="145"/>
      <c r="J32" s="145"/>
      <c r="K32" s="145"/>
      <c r="L32" s="145"/>
      <c r="M32" s="145"/>
    </row>
    <row r="33" spans="6:13" x14ac:dyDescent="0.25">
      <c r="F33" s="145"/>
      <c r="G33" s="145"/>
      <c r="H33" s="145"/>
      <c r="I33" s="145"/>
      <c r="J33" s="145"/>
      <c r="K33" s="145"/>
      <c r="L33" s="145"/>
      <c r="M33" s="145"/>
    </row>
    <row r="34" spans="6:13" x14ac:dyDescent="0.25">
      <c r="F34" s="145"/>
      <c r="G34" s="145"/>
      <c r="H34" s="145"/>
      <c r="I34" s="145"/>
      <c r="J34" s="145"/>
      <c r="K34" s="145"/>
      <c r="L34" s="145"/>
      <c r="M34" s="145"/>
    </row>
    <row r="35" spans="6:13" x14ac:dyDescent="0.25">
      <c r="F35" s="145"/>
      <c r="G35" s="145"/>
      <c r="H35" s="145"/>
      <c r="I35" s="145"/>
      <c r="J35" s="145"/>
      <c r="K35" s="145"/>
      <c r="L35" s="145"/>
      <c r="M35" s="145"/>
    </row>
    <row r="36" spans="6:13" x14ac:dyDescent="0.25">
      <c r="F36" s="145"/>
      <c r="G36" s="145"/>
      <c r="H36" s="145"/>
      <c r="I36" s="145"/>
      <c r="J36" s="145"/>
      <c r="K36" s="145"/>
      <c r="L36" s="145"/>
      <c r="M36" s="145"/>
    </row>
    <row r="37" spans="6:13" x14ac:dyDescent="0.25">
      <c r="F37" s="145"/>
      <c r="G37" s="145"/>
      <c r="H37" s="145"/>
      <c r="I37" s="145"/>
      <c r="J37" s="145"/>
      <c r="K37" s="145"/>
      <c r="L37" s="145"/>
      <c r="M37" s="145"/>
    </row>
    <row r="38" spans="6:13" x14ac:dyDescent="0.25">
      <c r="F38" s="145"/>
      <c r="G38" s="145"/>
      <c r="H38" s="145"/>
      <c r="I38" s="145"/>
      <c r="J38" s="145"/>
      <c r="K38" s="145"/>
      <c r="L38" s="145"/>
      <c r="M38" s="145"/>
    </row>
    <row r="39" spans="6:13" x14ac:dyDescent="0.25">
      <c r="F39" s="145"/>
      <c r="G39" s="145"/>
      <c r="H39" s="145"/>
      <c r="I39" s="145"/>
      <c r="J39" s="145"/>
      <c r="K39" s="145"/>
      <c r="L39" s="145"/>
      <c r="M39" s="145"/>
    </row>
    <row r="40" spans="6:13" x14ac:dyDescent="0.25">
      <c r="F40" s="145"/>
      <c r="G40" s="145"/>
      <c r="H40" s="145"/>
      <c r="I40" s="145"/>
      <c r="J40" s="145"/>
      <c r="K40" s="145"/>
      <c r="L40" s="145"/>
      <c r="M40" s="145"/>
    </row>
    <row r="41" spans="6:13" x14ac:dyDescent="0.25">
      <c r="F41" s="145"/>
      <c r="G41" s="145"/>
      <c r="H41" s="145"/>
      <c r="I41" s="145"/>
      <c r="J41" s="145"/>
      <c r="K41" s="145"/>
      <c r="L41" s="145"/>
      <c r="M41" s="145"/>
    </row>
    <row r="42" spans="6:13" x14ac:dyDescent="0.25">
      <c r="F42" s="145"/>
      <c r="G42" s="145"/>
      <c r="H42" s="145"/>
      <c r="I42" s="145"/>
      <c r="J42" s="145"/>
      <c r="K42" s="145"/>
      <c r="L42" s="145"/>
      <c r="M42" s="145"/>
    </row>
    <row r="43" spans="6:13" x14ac:dyDescent="0.25">
      <c r="F43" s="145"/>
      <c r="G43" s="145"/>
      <c r="H43" s="145"/>
      <c r="I43" s="145"/>
      <c r="J43" s="145"/>
      <c r="K43" s="145"/>
      <c r="L43" s="145"/>
      <c r="M43" s="145"/>
    </row>
    <row r="44" spans="6:13" x14ac:dyDescent="0.25">
      <c r="F44" s="145"/>
      <c r="G44" s="145"/>
      <c r="H44" s="145"/>
      <c r="I44" s="145"/>
      <c r="J44" s="145"/>
      <c r="K44" s="145"/>
      <c r="L44" s="145"/>
      <c r="M44" s="145"/>
    </row>
    <row r="45" spans="6:13" x14ac:dyDescent="0.25">
      <c r="F45" s="145"/>
      <c r="G45" s="145"/>
      <c r="H45" s="145"/>
      <c r="I45" s="145"/>
      <c r="J45" s="145"/>
      <c r="K45" s="145"/>
      <c r="L45" s="145"/>
      <c r="M45" s="145"/>
    </row>
    <row r="46" spans="6:13" x14ac:dyDescent="0.25">
      <c r="F46" s="145"/>
      <c r="G46" s="145"/>
      <c r="H46" s="145"/>
      <c r="I46" s="145"/>
      <c r="J46" s="145"/>
      <c r="K46" s="145"/>
      <c r="L46" s="145"/>
      <c r="M46" s="145"/>
    </row>
    <row r="47" spans="6:13" x14ac:dyDescent="0.25">
      <c r="M47" s="145"/>
    </row>
    <row r="48" spans="6:13" x14ac:dyDescent="0.25">
      <c r="M48" s="145"/>
    </row>
    <row r="49" spans="13:13" x14ac:dyDescent="0.25">
      <c r="M49" s="145"/>
    </row>
    <row r="50" spans="13:13" x14ac:dyDescent="0.25">
      <c r="M50" s="145"/>
    </row>
    <row r="51" spans="13:13" x14ac:dyDescent="0.25">
      <c r="M51" s="145"/>
    </row>
    <row r="52" spans="13:13" x14ac:dyDescent="0.25">
      <c r="M52" s="145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B20:C20"/>
    <mergeCell ref="B21:C21"/>
    <mergeCell ref="B22:C22"/>
    <mergeCell ref="B9:C9"/>
    <mergeCell ref="B15:C15"/>
    <mergeCell ref="B16:L16"/>
    <mergeCell ref="B17:C17"/>
    <mergeCell ref="B18:C18"/>
    <mergeCell ref="B19:C19"/>
    <mergeCell ref="B1:L1"/>
    <mergeCell ref="B2:L2"/>
    <mergeCell ref="B3:L3"/>
    <mergeCell ref="B4:L4"/>
    <mergeCell ref="B5:L5"/>
    <mergeCell ref="B7:L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Estado de Situación Financiera</vt:lpstr>
      <vt:lpstr>Estado de Resultados</vt:lpstr>
      <vt:lpstr>Estado de Flujo de Efecivo</vt:lpstr>
      <vt:lpstr>Esta. de Cambi. Patrimoni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Valeria Ochoa Larrota</dc:creator>
  <cp:lastModifiedBy>Ferney Camilo Ramírez Hamón</cp:lastModifiedBy>
  <cp:lastPrinted>2018-05-06T22:54:33Z</cp:lastPrinted>
  <dcterms:created xsi:type="dcterms:W3CDTF">2017-09-02T01:11:03Z</dcterms:created>
  <dcterms:modified xsi:type="dcterms:W3CDTF">2020-05-16T20:28:58Z</dcterms:modified>
</cp:coreProperties>
</file>