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\Documents\NOVENO SEMESTRE\BATIFRUIT´S S.A.S\Finanzas Internacionales\"/>
    </mc:Choice>
  </mc:AlternateContent>
  <xr:revisionPtr revIDLastSave="0" documentId="13_ncr:1_{2D800D86-BEC1-4193-9AEB-180B381C6BC4}" xr6:coauthVersionLast="44" xr6:coauthVersionMax="45" xr10:uidLastSave="{00000000-0000-0000-0000-000000000000}"/>
  <workbookProtection workbookAlgorithmName="SHA-512" workbookHashValue="Wqv5ohQWK3kykt8lTD9ZC20fIcUa0Z/M3RsWa1J4dKQXdyid6xD+w82U312oq6Nu1G1lKCk3GmOAONi7LMG8rA==" workbookSaltValue="iGaTLA3HxNvpsSE00w3rJw==" workbookSpinCount="100000" lockStructure="1"/>
  <bookViews>
    <workbookView xWindow="-120" yWindow="-120" windowWidth="20730" windowHeight="11280" tabRatio="938" xr2:uid="{3D322039-AB24-4226-867B-EB320FD42252}"/>
  </bookViews>
  <sheets>
    <sheet name="X.1. Valor de distribución" sheetId="3" r:id="rId1"/>
    <sheet name="X.2. Tabla de capitalización" sheetId="4" r:id="rId2"/>
    <sheet name="X.3. Bonos" sheetId="5" r:id="rId3"/>
    <sheet name="X.4. Valoración feb y mar" sheetId="6" r:id="rId4"/>
    <sheet name="X.5.Duración-Convexidad feb mar" sheetId="10" r:id="rId5"/>
    <sheet name="X.6. Valoración abril" sheetId="11" r:id="rId6"/>
    <sheet name="14032020" sheetId="8" state="hidden" r:id="rId7"/>
  </sheets>
  <definedNames>
    <definedName name="_xlnm._FilterDatabase" localSheetId="3" hidden="1">'X.4. Valoración feb y mar'!$H$56:$P$118</definedName>
    <definedName name="_xlnm._FilterDatabase" localSheetId="5" hidden="1">'X.6. Valoración abril'!$H$56:$K$118</definedName>
    <definedName name="Fechas1">OFFSET('X.3. Bonos'!$A$21,0,'X.3. Bonos'!#REF!,MAX('X.3. Bonos'!$B$9:$C$9),1)</definedName>
    <definedName name="Fechas2">OFFSET('X.3. Bonos'!$I$21,0,0,MAX('X.3. Bonos'!$B$9:$C$9),1)</definedName>
    <definedName name="Flujos1">OFFSET('X.3. Bonos'!$E$21,0,0,MAX('X.3. Bonos'!$B$9:$C$9),1)</definedName>
    <definedName name="Flujos2">OFFSET('X.3. Bonos'!$M$21,0,0,MAX('X.3. Bonos'!$B$9:$C$9),1)</definedName>
    <definedName name="VpFlujos1">OFFSET('X.3. Bonos'!$G$21,0,0,MAX('X.3. Bonos'!$B$9:$C$9),1)</definedName>
    <definedName name="VpFlujos2">OFFSET('X.3. Bonos'!$O$21,0,0,MAX('X.3. Bonos'!$B$9:$C$9),1)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0" l="1"/>
  <c r="J15" i="10"/>
  <c r="I31" i="10"/>
  <c r="C21" i="3" l="1"/>
  <c r="C25" i="5"/>
  <c r="C21" i="5"/>
  <c r="E21" i="5" s="1"/>
  <c r="N123" i="11" l="1"/>
  <c r="I129" i="11" s="1"/>
  <c r="W123" i="6"/>
  <c r="N123" i="6"/>
  <c r="I129" i="6" s="1"/>
  <c r="K118" i="6"/>
  <c r="N127" i="6"/>
  <c r="I51" i="6"/>
  <c r="N46" i="6"/>
  <c r="O45" i="6"/>
  <c r="N49" i="6"/>
  <c r="W49" i="6" s="1"/>
  <c r="R51" i="6" l="1"/>
  <c r="D58" i="11"/>
  <c r="I102" i="11" s="1"/>
  <c r="D57" i="11"/>
  <c r="D56" i="11"/>
  <c r="D19" i="11"/>
  <c r="I39" i="11" s="1"/>
  <c r="I18" i="11"/>
  <c r="D17" i="11"/>
  <c r="I15" i="11"/>
  <c r="I40" i="11" l="1"/>
  <c r="K40" i="11" s="1"/>
  <c r="K39" i="11"/>
  <c r="I33" i="11"/>
  <c r="K33" i="11" s="1"/>
  <c r="I37" i="11"/>
  <c r="K37" i="11" s="1"/>
  <c r="I20" i="11"/>
  <c r="I22" i="11"/>
  <c r="I24" i="11"/>
  <c r="I26" i="11"/>
  <c r="I28" i="11"/>
  <c r="I30" i="11"/>
  <c r="I32" i="11"/>
  <c r="O45" i="11" s="1"/>
  <c r="I36" i="11"/>
  <c r="K36" i="11" s="1"/>
  <c r="C128" i="11"/>
  <c r="C126" i="11"/>
  <c r="C124" i="11"/>
  <c r="C122" i="11"/>
  <c r="C116" i="11"/>
  <c r="I115" i="11"/>
  <c r="C112" i="11"/>
  <c r="I111" i="11"/>
  <c r="C108" i="11"/>
  <c r="I107" i="11"/>
  <c r="C104" i="11"/>
  <c r="I103" i="11"/>
  <c r="C100" i="11"/>
  <c r="I99" i="11"/>
  <c r="C96" i="11"/>
  <c r="I95" i="11"/>
  <c r="C92" i="11"/>
  <c r="I91" i="11"/>
  <c r="C88" i="11"/>
  <c r="I87" i="11"/>
  <c r="C84" i="11"/>
  <c r="I83" i="11"/>
  <c r="C80" i="11"/>
  <c r="I79" i="11"/>
  <c r="C76" i="11"/>
  <c r="I75" i="11"/>
  <c r="I70" i="11"/>
  <c r="C69" i="11"/>
  <c r="I67" i="11"/>
  <c r="I62" i="11"/>
  <c r="I60" i="11"/>
  <c r="I58" i="11"/>
  <c r="C127" i="11"/>
  <c r="C123" i="11"/>
  <c r="C119" i="11"/>
  <c r="C117" i="11"/>
  <c r="I116" i="11"/>
  <c r="C113" i="11"/>
  <c r="I112" i="11"/>
  <c r="C109" i="11"/>
  <c r="I108" i="11"/>
  <c r="C105" i="11"/>
  <c r="I104" i="11"/>
  <c r="C101" i="11"/>
  <c r="I100" i="11"/>
  <c r="C97" i="11"/>
  <c r="I96" i="11"/>
  <c r="C93" i="11"/>
  <c r="I92" i="11"/>
  <c r="C89" i="11"/>
  <c r="I88" i="11"/>
  <c r="C85" i="11"/>
  <c r="I84" i="11"/>
  <c r="C81" i="11"/>
  <c r="I80" i="11"/>
  <c r="C77" i="11"/>
  <c r="I76" i="11"/>
  <c r="C73" i="11"/>
  <c r="C72" i="11"/>
  <c r="I69" i="11"/>
  <c r="I66" i="11"/>
  <c r="I64" i="11"/>
  <c r="I57" i="11"/>
  <c r="I59" i="11"/>
  <c r="I63" i="11"/>
  <c r="I72" i="11"/>
  <c r="C74" i="11"/>
  <c r="I77" i="11"/>
  <c r="C82" i="11"/>
  <c r="I85" i="11"/>
  <c r="C90" i="11"/>
  <c r="I93" i="11"/>
  <c r="C98" i="11"/>
  <c r="I101" i="11"/>
  <c r="C106" i="11"/>
  <c r="I109" i="11"/>
  <c r="C114" i="11"/>
  <c r="I117" i="11"/>
  <c r="C120" i="11"/>
  <c r="C70" i="11"/>
  <c r="I74" i="11"/>
  <c r="N127" i="11" s="1"/>
  <c r="C79" i="11"/>
  <c r="I82" i="11"/>
  <c r="C87" i="11"/>
  <c r="I90" i="11"/>
  <c r="C95" i="11"/>
  <c r="I98" i="11"/>
  <c r="C103" i="11"/>
  <c r="I106" i="11"/>
  <c r="C111" i="11"/>
  <c r="I114" i="11"/>
  <c r="C121" i="11"/>
  <c r="C125" i="11"/>
  <c r="I35" i="11"/>
  <c r="K35" i="11" s="1"/>
  <c r="I19" i="11"/>
  <c r="I21" i="11"/>
  <c r="I23" i="11"/>
  <c r="I25" i="11"/>
  <c r="I27" i="11"/>
  <c r="I29" i="11"/>
  <c r="I31" i="11"/>
  <c r="I34" i="11"/>
  <c r="K34" i="11" s="1"/>
  <c r="I38" i="11"/>
  <c r="K38" i="11" s="1"/>
  <c r="I61" i="11"/>
  <c r="I68" i="11"/>
  <c r="C71" i="11"/>
  <c r="I73" i="11"/>
  <c r="C78" i="11"/>
  <c r="I81" i="11"/>
  <c r="C86" i="11"/>
  <c r="I89" i="11"/>
  <c r="C94" i="11"/>
  <c r="I97" i="11"/>
  <c r="C102" i="11"/>
  <c r="I105" i="11"/>
  <c r="C110" i="11"/>
  <c r="I113" i="11"/>
  <c r="C118" i="11"/>
  <c r="I65" i="11"/>
  <c r="I71" i="11"/>
  <c r="C75" i="11"/>
  <c r="I78" i="11"/>
  <c r="C83" i="11"/>
  <c r="I86" i="11"/>
  <c r="C91" i="11"/>
  <c r="I94" i="11"/>
  <c r="C99" i="11"/>
  <c r="C107" i="11"/>
  <c r="I110" i="11"/>
  <c r="C115" i="11"/>
  <c r="O128" i="11" l="1"/>
  <c r="N46" i="11"/>
  <c r="K41" i="11"/>
  <c r="N49" i="11" s="1"/>
  <c r="I51" i="11" s="1"/>
  <c r="C67" i="11"/>
  <c r="D64" i="11" s="1"/>
  <c r="K102" i="11" s="1"/>
  <c r="H29" i="4"/>
  <c r="H30" i="4" s="1"/>
  <c r="H23" i="4"/>
  <c r="H24" i="4" s="1"/>
  <c r="O50" i="11" l="1"/>
  <c r="K99" i="11"/>
  <c r="K95" i="11"/>
  <c r="K93" i="11"/>
  <c r="K107" i="11"/>
  <c r="K88" i="11"/>
  <c r="K115" i="11"/>
  <c r="K83" i="11"/>
  <c r="K96" i="11"/>
  <c r="K89" i="11"/>
  <c r="K103" i="11"/>
  <c r="K116" i="11"/>
  <c r="K84" i="11"/>
  <c r="K81" i="11"/>
  <c r="K86" i="11"/>
  <c r="K117" i="11"/>
  <c r="K108" i="11"/>
  <c r="K76" i="11"/>
  <c r="K82" i="11"/>
  <c r="K106" i="11"/>
  <c r="K90" i="11"/>
  <c r="K75" i="11"/>
  <c r="K111" i="11"/>
  <c r="K79" i="11"/>
  <c r="K114" i="11"/>
  <c r="K74" i="11"/>
  <c r="K110" i="11"/>
  <c r="K91" i="11"/>
  <c r="K104" i="11"/>
  <c r="K105" i="11"/>
  <c r="K77" i="11"/>
  <c r="K97" i="11"/>
  <c r="K112" i="11"/>
  <c r="K80" i="11"/>
  <c r="K101" i="11"/>
  <c r="K87" i="11"/>
  <c r="K100" i="11"/>
  <c r="K113" i="11"/>
  <c r="K85" i="11"/>
  <c r="K98" i="11"/>
  <c r="K78" i="11"/>
  <c r="K92" i="11"/>
  <c r="K109" i="11"/>
  <c r="K94" i="11"/>
  <c r="Q15" i="10"/>
  <c r="D19" i="10"/>
  <c r="K118" i="11" l="1"/>
  <c r="D19" i="6"/>
  <c r="O124" i="11" l="1"/>
  <c r="I15" i="6"/>
  <c r="N15" i="6"/>
  <c r="N203" i="8" l="1"/>
  <c r="N194" i="8"/>
  <c r="N265" i="8"/>
  <c r="O262" i="8"/>
  <c r="O260" i="8" s="1"/>
  <c r="O261" i="8"/>
  <c r="O249" i="8"/>
  <c r="O245" i="8"/>
  <c r="O244" i="8"/>
  <c r="O203" i="8"/>
  <c r="P203" i="8"/>
  <c r="O202" i="8"/>
  <c r="N202" i="8"/>
  <c r="P202" i="8" s="1"/>
  <c r="O201" i="8"/>
  <c r="N201" i="8"/>
  <c r="O200" i="8"/>
  <c r="N200" i="8"/>
  <c r="O199" i="8"/>
  <c r="N199" i="8"/>
  <c r="P199" i="8" s="1"/>
  <c r="O198" i="8"/>
  <c r="N198" i="8"/>
  <c r="O197" i="8"/>
  <c r="N197" i="8"/>
  <c r="O196" i="8"/>
  <c r="N196" i="8"/>
  <c r="P196" i="8" s="1"/>
  <c r="R196" i="8" s="1"/>
  <c r="O195" i="8"/>
  <c r="N195" i="8"/>
  <c r="P195" i="8" s="1"/>
  <c r="O194" i="8"/>
  <c r="P194" i="8"/>
  <c r="O182" i="8"/>
  <c r="R182" i="8" s="1"/>
  <c r="O181" i="8"/>
  <c r="Q181" i="8" s="1"/>
  <c r="V170" i="8"/>
  <c r="V169" i="8"/>
  <c r="V168" i="8"/>
  <c r="V164" i="8"/>
  <c r="X164" i="8" s="1"/>
  <c r="V163" i="8"/>
  <c r="X163" i="8" s="1"/>
  <c r="V162" i="8"/>
  <c r="X162" i="8" s="1"/>
  <c r="V161" i="8"/>
  <c r="X161" i="8" s="1"/>
  <c r="V160" i="8"/>
  <c r="X160" i="8" s="1"/>
  <c r="V159" i="8"/>
  <c r="X159" i="8" s="1"/>
  <c r="V158" i="8"/>
  <c r="X158" i="8" s="1"/>
  <c r="V157" i="8"/>
  <c r="X157" i="8" s="1"/>
  <c r="V156" i="8"/>
  <c r="X156" i="8" s="1"/>
  <c r="V154" i="8"/>
  <c r="V153" i="8"/>
  <c r="V152" i="8"/>
  <c r="V151" i="8"/>
  <c r="V150" i="8"/>
  <c r="V149" i="8"/>
  <c r="V143" i="8"/>
  <c r="X143" i="8" s="1"/>
  <c r="V142" i="8"/>
  <c r="X142" i="8" s="1"/>
  <c r="V141" i="8"/>
  <c r="X141" i="8" s="1"/>
  <c r="V140" i="8"/>
  <c r="X140" i="8" s="1"/>
  <c r="V139" i="8"/>
  <c r="X139" i="8" s="1"/>
  <c r="V138" i="8"/>
  <c r="X138" i="8" s="1"/>
  <c r="V137" i="8"/>
  <c r="X137" i="8" s="1"/>
  <c r="V136" i="8"/>
  <c r="X136" i="8" s="1"/>
  <c r="V135" i="8"/>
  <c r="X135" i="8" s="1"/>
  <c r="V133" i="8"/>
  <c r="V132" i="8"/>
  <c r="V131" i="8"/>
  <c r="V130" i="8"/>
  <c r="V129" i="8"/>
  <c r="V128" i="8"/>
  <c r="V122" i="8"/>
  <c r="X122" i="8" s="1"/>
  <c r="V121" i="8"/>
  <c r="X121" i="8" s="1"/>
  <c r="V120" i="8"/>
  <c r="X120" i="8" s="1"/>
  <c r="V119" i="8"/>
  <c r="X119" i="8" s="1"/>
  <c r="V118" i="8"/>
  <c r="X118" i="8" s="1"/>
  <c r="V117" i="8"/>
  <c r="X117" i="8" s="1"/>
  <c r="V116" i="8"/>
  <c r="X116" i="8" s="1"/>
  <c r="V115" i="8"/>
  <c r="X115" i="8" s="1"/>
  <c r="V114" i="8"/>
  <c r="X114" i="8" s="1"/>
  <c r="V112" i="8"/>
  <c r="V111" i="8"/>
  <c r="V110" i="8"/>
  <c r="V109" i="8"/>
  <c r="V108" i="8"/>
  <c r="V107" i="8"/>
  <c r="V99" i="8"/>
  <c r="V98" i="8"/>
  <c r="V97" i="8"/>
  <c r="X93" i="8"/>
  <c r="V93" i="8"/>
  <c r="V92" i="8"/>
  <c r="X92" i="8" s="1"/>
  <c r="V91" i="8"/>
  <c r="X91" i="8" s="1"/>
  <c r="V90" i="8"/>
  <c r="X90" i="8" s="1"/>
  <c r="V89" i="8"/>
  <c r="X89" i="8" s="1"/>
  <c r="V87" i="8"/>
  <c r="V86" i="8"/>
  <c r="V85" i="8"/>
  <c r="V84" i="8"/>
  <c r="V83" i="8"/>
  <c r="V82" i="8"/>
  <c r="V75" i="8"/>
  <c r="X75" i="8" s="1"/>
  <c r="V74" i="8"/>
  <c r="X74" i="8" s="1"/>
  <c r="V73" i="8"/>
  <c r="X73" i="8" s="1"/>
  <c r="V72" i="8"/>
  <c r="X72" i="8" s="1"/>
  <c r="V71" i="8"/>
  <c r="X71" i="8" s="1"/>
  <c r="V69" i="8"/>
  <c r="V68" i="8"/>
  <c r="V67" i="8"/>
  <c r="V66" i="8"/>
  <c r="V65" i="8"/>
  <c r="V64" i="8"/>
  <c r="C58" i="8"/>
  <c r="C57" i="8"/>
  <c r="V56" i="8"/>
  <c r="X56" i="8" s="1"/>
  <c r="Q56" i="8"/>
  <c r="C56" i="8"/>
  <c r="V55" i="8"/>
  <c r="X55" i="8" s="1"/>
  <c r="Q55" i="8"/>
  <c r="C55" i="8"/>
  <c r="V54" i="8"/>
  <c r="X54" i="8" s="1"/>
  <c r="Q54" i="8"/>
  <c r="C54" i="8"/>
  <c r="V53" i="8"/>
  <c r="X53" i="8" s="1"/>
  <c r="Q53" i="8"/>
  <c r="V52" i="8"/>
  <c r="X52" i="8" s="1"/>
  <c r="Q52" i="8"/>
  <c r="V50" i="8"/>
  <c r="Q50" i="8"/>
  <c r="V49" i="8"/>
  <c r="Q49" i="8"/>
  <c r="V48" i="8"/>
  <c r="Q48" i="8"/>
  <c r="V47" i="8"/>
  <c r="Q47" i="8"/>
  <c r="V46" i="8"/>
  <c r="Q46" i="8"/>
  <c r="V45" i="8"/>
  <c r="Q45" i="8"/>
  <c r="V39" i="8"/>
  <c r="X39" i="8" s="1"/>
  <c r="Q39" i="8"/>
  <c r="V38" i="8"/>
  <c r="X38" i="8" s="1"/>
  <c r="Q38" i="8"/>
  <c r="V37" i="8"/>
  <c r="X37" i="8" s="1"/>
  <c r="Q37" i="8"/>
  <c r="V36" i="8"/>
  <c r="X36" i="8" s="1"/>
  <c r="Q36" i="8"/>
  <c r="V35" i="8"/>
  <c r="X35" i="8" s="1"/>
  <c r="Q35" i="8"/>
  <c r="V34" i="8"/>
  <c r="Q34" i="8"/>
  <c r="V33" i="8"/>
  <c r="Q33" i="8"/>
  <c r="V32" i="8"/>
  <c r="Q32" i="8"/>
  <c r="V31" i="8"/>
  <c r="Q31" i="8"/>
  <c r="V30" i="8"/>
  <c r="Q30" i="8"/>
  <c r="V29" i="8"/>
  <c r="Q29" i="8"/>
  <c r="K24" i="8"/>
  <c r="C24" i="8"/>
  <c r="K23" i="8"/>
  <c r="C23" i="8"/>
  <c r="V22" i="8"/>
  <c r="X22" i="8" s="1"/>
  <c r="Q22" i="8"/>
  <c r="K22" i="8"/>
  <c r="C22" i="8"/>
  <c r="V21" i="8"/>
  <c r="X21" i="8" s="1"/>
  <c r="Q21" i="8"/>
  <c r="K21" i="8"/>
  <c r="C21" i="8"/>
  <c r="V20" i="8"/>
  <c r="X20" i="8" s="1"/>
  <c r="Q20" i="8"/>
  <c r="K20" i="8"/>
  <c r="C20" i="8"/>
  <c r="C18" i="8" s="1"/>
  <c r="S53" i="8" s="1"/>
  <c r="V19" i="8"/>
  <c r="X19" i="8" s="1"/>
  <c r="Q19" i="8"/>
  <c r="K19" i="8"/>
  <c r="V18" i="8"/>
  <c r="X18" i="8" s="1"/>
  <c r="Q18" i="8"/>
  <c r="V17" i="8"/>
  <c r="X17" i="8" s="1"/>
  <c r="Q17" i="8"/>
  <c r="V15" i="8"/>
  <c r="Q15" i="8"/>
  <c r="V14" i="8"/>
  <c r="Q14" i="8"/>
  <c r="V13" i="8"/>
  <c r="Q13" i="8"/>
  <c r="V12" i="8"/>
  <c r="Q12" i="8"/>
  <c r="V11" i="8"/>
  <c r="Q11" i="8"/>
  <c r="B62" i="8" l="1"/>
  <c r="B63" i="8" s="1"/>
  <c r="C52" i="8" s="1"/>
  <c r="P200" i="8"/>
  <c r="R200" i="8" s="1"/>
  <c r="R203" i="8"/>
  <c r="P198" i="8"/>
  <c r="R198" i="8" s="1"/>
  <c r="R181" i="8"/>
  <c r="X40" i="8"/>
  <c r="S19" i="8"/>
  <c r="S20" i="8"/>
  <c r="S22" i="8"/>
  <c r="S38" i="8"/>
  <c r="S56" i="8"/>
  <c r="X57" i="8"/>
  <c r="S54" i="8"/>
  <c r="X94" i="8"/>
  <c r="W99" i="8" s="1"/>
  <c r="S21" i="8"/>
  <c r="S36" i="8"/>
  <c r="S55" i="8"/>
  <c r="S17" i="8"/>
  <c r="S35" i="8"/>
  <c r="S37" i="8"/>
  <c r="S39" i="8"/>
  <c r="X144" i="8"/>
  <c r="W169" i="8" s="1"/>
  <c r="O247" i="8"/>
  <c r="O250" i="8" s="1"/>
  <c r="W97" i="8"/>
  <c r="W174" i="8"/>
  <c r="X165" i="8"/>
  <c r="W170" i="8" s="1"/>
  <c r="Q198" i="8"/>
  <c r="R195" i="8"/>
  <c r="Q195" i="8"/>
  <c r="Q202" i="8"/>
  <c r="R202" i="8"/>
  <c r="X23" i="8"/>
  <c r="X76" i="8"/>
  <c r="W176" i="8"/>
  <c r="X123" i="8"/>
  <c r="W168" i="8" s="1"/>
  <c r="Q199" i="8"/>
  <c r="R199" i="8"/>
  <c r="Q194" i="8"/>
  <c r="R194" i="8"/>
  <c r="Q203" i="8"/>
  <c r="S18" i="8"/>
  <c r="S52" i="8"/>
  <c r="Q196" i="8"/>
  <c r="P197" i="8"/>
  <c r="Q197" i="8" s="1"/>
  <c r="Q200" i="8"/>
  <c r="P201" i="8"/>
  <c r="Q201" i="8" s="1"/>
  <c r="Q182" i="8"/>
  <c r="Z174" i="8" l="1"/>
  <c r="S40" i="8"/>
  <c r="Y173" i="8"/>
  <c r="R197" i="8"/>
  <c r="S57" i="8"/>
  <c r="S23" i="8"/>
  <c r="Q204" i="8"/>
  <c r="Y174" i="8"/>
  <c r="R201" i="8"/>
  <c r="P204" i="8"/>
  <c r="W98" i="8"/>
  <c r="X98" i="8" s="1"/>
  <c r="W175" i="8"/>
  <c r="Z173" i="8" s="1"/>
  <c r="X99" i="8"/>
  <c r="R204" i="8" l="1"/>
  <c r="N216" i="8"/>
  <c r="S220" i="8" s="1"/>
  <c r="N207" i="8"/>
  <c r="N210" i="8" s="1"/>
  <c r="S230" i="8"/>
  <c r="S219" i="8" l="1"/>
  <c r="S229" i="8"/>
  <c r="S232" i="8" s="1"/>
  <c r="S234" i="8" s="1"/>
  <c r="O213" i="8"/>
  <c r="P213" i="8" s="1"/>
  <c r="O214" i="8"/>
  <c r="P214" i="8" s="1"/>
  <c r="S222" i="8"/>
  <c r="S224" i="8" s="1"/>
  <c r="D56" i="6" l="1"/>
  <c r="D57" i="6" s="1"/>
  <c r="D14" i="4" l="1"/>
  <c r="AG9" i="5" l="1"/>
  <c r="AH10" i="5" s="1"/>
  <c r="D55" i="6"/>
  <c r="D16" i="5"/>
  <c r="V8" i="5"/>
  <c r="V7" i="5"/>
  <c r="V6" i="5"/>
  <c r="D5" i="5"/>
  <c r="Q21" i="5" s="1"/>
  <c r="C5" i="5"/>
  <c r="C11" i="5" s="1"/>
  <c r="C12" i="5" s="1"/>
  <c r="C13" i="5" s="1"/>
  <c r="B5" i="5"/>
  <c r="B11" i="5" s="1"/>
  <c r="B12" i="5" s="1"/>
  <c r="B13" i="5" s="1"/>
  <c r="C103" i="6" l="1"/>
  <c r="C111" i="6"/>
  <c r="C119" i="6"/>
  <c r="C113" i="6"/>
  <c r="C106" i="6"/>
  <c r="C122" i="6"/>
  <c r="C115" i="6"/>
  <c r="C123" i="6"/>
  <c r="C116" i="6"/>
  <c r="C109" i="6"/>
  <c r="C125" i="6"/>
  <c r="C118" i="6"/>
  <c r="C104" i="6"/>
  <c r="C112" i="6"/>
  <c r="C120" i="6"/>
  <c r="C121" i="6"/>
  <c r="C114" i="6"/>
  <c r="C107" i="6"/>
  <c r="C108" i="6"/>
  <c r="C124" i="6"/>
  <c r="C117" i="6"/>
  <c r="C126" i="6"/>
  <c r="C105" i="6"/>
  <c r="C110" i="6"/>
  <c r="N98" i="6"/>
  <c r="N106" i="6"/>
  <c r="N114" i="6"/>
  <c r="I96" i="6"/>
  <c r="I104" i="6"/>
  <c r="I112" i="6"/>
  <c r="I110" i="6"/>
  <c r="N105" i="6"/>
  <c r="I103" i="6"/>
  <c r="N99" i="6"/>
  <c r="N107" i="6"/>
  <c r="N115" i="6"/>
  <c r="I97" i="6"/>
  <c r="I105" i="6"/>
  <c r="I113" i="6"/>
  <c r="N100" i="6"/>
  <c r="N108" i="6"/>
  <c r="N116" i="6"/>
  <c r="I98" i="6"/>
  <c r="I106" i="6"/>
  <c r="I114" i="6"/>
  <c r="N96" i="6"/>
  <c r="N97" i="6"/>
  <c r="N93" i="6"/>
  <c r="N101" i="6"/>
  <c r="N109" i="6"/>
  <c r="I99" i="6"/>
  <c r="I107" i="6"/>
  <c r="I115" i="6"/>
  <c r="N104" i="6"/>
  <c r="I94" i="6"/>
  <c r="N113" i="6"/>
  <c r="I95" i="6"/>
  <c r="N94" i="6"/>
  <c r="N102" i="6"/>
  <c r="N110" i="6"/>
  <c r="I100" i="6"/>
  <c r="I108" i="6"/>
  <c r="I116" i="6"/>
  <c r="N112" i="6"/>
  <c r="I102" i="6"/>
  <c r="I111" i="6"/>
  <c r="N95" i="6"/>
  <c r="N103" i="6"/>
  <c r="N111" i="6"/>
  <c r="I93" i="6"/>
  <c r="I101" i="6"/>
  <c r="I109" i="6"/>
  <c r="N66" i="6"/>
  <c r="N79" i="6"/>
  <c r="N83" i="6"/>
  <c r="N87" i="6"/>
  <c r="N91" i="6"/>
  <c r="I117" i="6"/>
  <c r="I81" i="6"/>
  <c r="I85" i="6"/>
  <c r="I89" i="6"/>
  <c r="I92" i="6"/>
  <c r="I64" i="6"/>
  <c r="N80" i="6"/>
  <c r="N84" i="6"/>
  <c r="N88" i="6"/>
  <c r="N92" i="6"/>
  <c r="I78" i="6"/>
  <c r="I82" i="6"/>
  <c r="I86" i="6"/>
  <c r="I90" i="6"/>
  <c r="I91" i="6"/>
  <c r="N117" i="6"/>
  <c r="N81" i="6"/>
  <c r="N85" i="6"/>
  <c r="N89" i="6"/>
  <c r="N73" i="6"/>
  <c r="I79" i="6"/>
  <c r="I83" i="6"/>
  <c r="I87" i="6"/>
  <c r="N78" i="6"/>
  <c r="N82" i="6"/>
  <c r="N86" i="6"/>
  <c r="N90" i="6"/>
  <c r="C127" i="6"/>
  <c r="I80" i="6"/>
  <c r="I84" i="6"/>
  <c r="I88" i="6"/>
  <c r="I72" i="6"/>
  <c r="C87" i="6"/>
  <c r="C95" i="6"/>
  <c r="C99" i="6"/>
  <c r="C93" i="6"/>
  <c r="C101" i="6"/>
  <c r="C102" i="6"/>
  <c r="AG13" i="5" s="1"/>
  <c r="AH14" i="5" s="1"/>
  <c r="C88" i="6"/>
  <c r="C96" i="6"/>
  <c r="C98" i="6"/>
  <c r="C94" i="6"/>
  <c r="C89" i="6"/>
  <c r="C97" i="6"/>
  <c r="C90" i="6"/>
  <c r="C91" i="6"/>
  <c r="C92" i="6"/>
  <c r="C100" i="6"/>
  <c r="C68" i="6"/>
  <c r="I58" i="6"/>
  <c r="N57" i="6"/>
  <c r="I57" i="6"/>
  <c r="N69" i="6"/>
  <c r="I69" i="6"/>
  <c r="N76" i="6"/>
  <c r="N72" i="6"/>
  <c r="W127" i="6" s="1"/>
  <c r="X128" i="6" s="1"/>
  <c r="N67" i="6"/>
  <c r="N63" i="6"/>
  <c r="N59" i="6"/>
  <c r="I74" i="6"/>
  <c r="I70" i="6"/>
  <c r="I65" i="6"/>
  <c r="I61" i="6"/>
  <c r="N75" i="6"/>
  <c r="N71" i="6"/>
  <c r="N62" i="6"/>
  <c r="N58" i="6"/>
  <c r="I77" i="6"/>
  <c r="I73" i="6"/>
  <c r="I68" i="6"/>
  <c r="I60" i="6"/>
  <c r="C72" i="6"/>
  <c r="C76" i="6"/>
  <c r="C80" i="6"/>
  <c r="C84" i="6"/>
  <c r="C73" i="6"/>
  <c r="C81" i="6"/>
  <c r="C69" i="6"/>
  <c r="N64" i="6"/>
  <c r="I75" i="6"/>
  <c r="I66" i="6"/>
  <c r="C74" i="6"/>
  <c r="C82" i="6"/>
  <c r="C79" i="6"/>
  <c r="N74" i="6"/>
  <c r="N70" i="6"/>
  <c r="N65" i="6"/>
  <c r="N61" i="6"/>
  <c r="I76" i="6"/>
  <c r="I67" i="6"/>
  <c r="I63" i="6"/>
  <c r="I59" i="6"/>
  <c r="C77" i="6"/>
  <c r="C85" i="6"/>
  <c r="N77" i="6"/>
  <c r="N68" i="6"/>
  <c r="N60" i="6"/>
  <c r="I71" i="6"/>
  <c r="I62" i="6"/>
  <c r="C70" i="6"/>
  <c r="C78" i="6"/>
  <c r="C86" i="6"/>
  <c r="C71" i="6"/>
  <c r="C75" i="6"/>
  <c r="C83" i="6"/>
  <c r="S21" i="5"/>
  <c r="R21" i="5"/>
  <c r="Q22" i="5"/>
  <c r="T21" i="5"/>
  <c r="D11" i="5"/>
  <c r="D12" i="5" s="1"/>
  <c r="D13" i="5" s="1"/>
  <c r="A21" i="5"/>
  <c r="I21" i="5"/>
  <c r="O128" i="6" l="1"/>
  <c r="C66" i="6"/>
  <c r="U21" i="5"/>
  <c r="K21" i="5"/>
  <c r="J21" i="5"/>
  <c r="I22" i="5"/>
  <c r="L21" i="5"/>
  <c r="S22" i="5"/>
  <c r="Q23" i="5"/>
  <c r="R22" i="5"/>
  <c r="T22" i="5"/>
  <c r="V21" i="5"/>
  <c r="W21" i="5" s="1"/>
  <c r="B21" i="5"/>
  <c r="A22" i="5"/>
  <c r="D21" i="5"/>
  <c r="C20" i="4"/>
  <c r="C15" i="4"/>
  <c r="D17" i="10" s="1"/>
  <c r="C20" i="3"/>
  <c r="C15" i="3"/>
  <c r="D63" i="6" l="1"/>
  <c r="I39" i="10"/>
  <c r="K39" i="10" s="1"/>
  <c r="P33" i="10"/>
  <c r="R33" i="10" s="1"/>
  <c r="P25" i="10"/>
  <c r="I22" i="10"/>
  <c r="P38" i="10"/>
  <c r="R38" i="10" s="1"/>
  <c r="P23" i="10"/>
  <c r="I37" i="10"/>
  <c r="K37" i="10" s="1"/>
  <c r="P30" i="10"/>
  <c r="I20" i="10"/>
  <c r="P35" i="10"/>
  <c r="R35" i="10" s="1"/>
  <c r="P29" i="10"/>
  <c r="I26" i="10"/>
  <c r="P40" i="10"/>
  <c r="R40" i="10" s="1"/>
  <c r="P27" i="10"/>
  <c r="P32" i="10"/>
  <c r="R32" i="10" s="1"/>
  <c r="P28" i="10"/>
  <c r="I24" i="10"/>
  <c r="P37" i="10"/>
  <c r="R37" i="10" s="1"/>
  <c r="I32" i="10"/>
  <c r="K32" i="10" s="1"/>
  <c r="I30" i="10"/>
  <c r="I25" i="10"/>
  <c r="I29" i="10"/>
  <c r="I28" i="10"/>
  <c r="P39" i="10"/>
  <c r="R39" i="10" s="1"/>
  <c r="I34" i="10"/>
  <c r="K34" i="10" s="1"/>
  <c r="P22" i="10"/>
  <c r="I19" i="10"/>
  <c r="I33" i="10"/>
  <c r="K33" i="10" s="1"/>
  <c r="I27" i="10"/>
  <c r="P34" i="10"/>
  <c r="R34" i="10" s="1"/>
  <c r="P20" i="10"/>
  <c r="I21" i="10"/>
  <c r="I36" i="10"/>
  <c r="K36" i="10" s="1"/>
  <c r="P26" i="10"/>
  <c r="I23" i="10"/>
  <c r="I35" i="10"/>
  <c r="K35" i="10" s="1"/>
  <c r="P24" i="10"/>
  <c r="I40" i="10"/>
  <c r="K40" i="10" s="1"/>
  <c r="P31" i="10"/>
  <c r="P21" i="10"/>
  <c r="P18" i="10"/>
  <c r="P36" i="10"/>
  <c r="R36" i="10" s="1"/>
  <c r="P19" i="10"/>
  <c r="I38" i="10"/>
  <c r="K38" i="10" s="1"/>
  <c r="I18" i="10"/>
  <c r="C19" i="3"/>
  <c r="P107" i="6"/>
  <c r="P109" i="6"/>
  <c r="P100" i="6"/>
  <c r="P103" i="6"/>
  <c r="P112" i="6"/>
  <c r="P101" i="6"/>
  <c r="P104" i="6"/>
  <c r="P106" i="6"/>
  <c r="P115" i="6"/>
  <c r="P98" i="6"/>
  <c r="P114" i="6"/>
  <c r="N18" i="4"/>
  <c r="O19" i="4" s="1"/>
  <c r="C19" i="4"/>
  <c r="D17" i="6"/>
  <c r="I30" i="6" s="1"/>
  <c r="D15" i="4"/>
  <c r="V22" i="5"/>
  <c r="W22" i="5" s="1"/>
  <c r="K22" i="5"/>
  <c r="J22" i="5"/>
  <c r="I23" i="5"/>
  <c r="L22" i="5"/>
  <c r="S23" i="5"/>
  <c r="Q24" i="5"/>
  <c r="R23" i="5"/>
  <c r="T23" i="5"/>
  <c r="N21" i="5"/>
  <c r="O21" i="5" s="1"/>
  <c r="U22" i="5"/>
  <c r="C22" i="5"/>
  <c r="B22" i="5"/>
  <c r="A23" i="5"/>
  <c r="D22" i="5"/>
  <c r="F21" i="5"/>
  <c r="G21" i="5" s="1"/>
  <c r="M21" i="5"/>
  <c r="K72" i="6" l="1"/>
  <c r="K73" i="6"/>
  <c r="P89" i="6"/>
  <c r="K84" i="6"/>
  <c r="P77" i="6"/>
  <c r="P87" i="6"/>
  <c r="P95" i="6"/>
  <c r="K78" i="6"/>
  <c r="K83" i="6"/>
  <c r="P76" i="6"/>
  <c r="P86" i="6"/>
  <c r="K76" i="6"/>
  <c r="K80" i="6"/>
  <c r="P88" i="6"/>
  <c r="K77" i="6"/>
  <c r="P78" i="6"/>
  <c r="P84" i="6"/>
  <c r="K85" i="6"/>
  <c r="P92" i="6"/>
  <c r="P90" i="6"/>
  <c r="P85" i="6"/>
  <c r="P74" i="6"/>
  <c r="P82" i="6"/>
  <c r="P79" i="6"/>
  <c r="P75" i="6"/>
  <c r="P73" i="6"/>
  <c r="P91" i="6"/>
  <c r="P93" i="6"/>
  <c r="P83" i="6"/>
  <c r="P80" i="6"/>
  <c r="K81" i="6"/>
  <c r="K79" i="6"/>
  <c r="P94" i="6"/>
  <c r="K74" i="6"/>
  <c r="P117" i="6"/>
  <c r="P81" i="6"/>
  <c r="K75" i="6"/>
  <c r="K82" i="6"/>
  <c r="P99" i="6"/>
  <c r="P96" i="6"/>
  <c r="P110" i="6"/>
  <c r="P113" i="6"/>
  <c r="P102" i="6"/>
  <c r="P108" i="6"/>
  <c r="P97" i="6"/>
  <c r="P105" i="6"/>
  <c r="P111" i="6"/>
  <c r="P116" i="6"/>
  <c r="K106" i="6"/>
  <c r="K87" i="6"/>
  <c r="K95" i="6"/>
  <c r="K90" i="6"/>
  <c r="K103" i="6"/>
  <c r="K101" i="6"/>
  <c r="K117" i="6"/>
  <c r="K96" i="6"/>
  <c r="K116" i="6"/>
  <c r="K93" i="6"/>
  <c r="K115" i="6"/>
  <c r="K108" i="6"/>
  <c r="K99" i="6"/>
  <c r="K86" i="6"/>
  <c r="K112" i="6"/>
  <c r="K104" i="6"/>
  <c r="K107" i="6"/>
  <c r="K105" i="6"/>
  <c r="K100" i="6"/>
  <c r="K94" i="6"/>
  <c r="K91" i="6"/>
  <c r="K113" i="6"/>
  <c r="K111" i="6"/>
  <c r="K114" i="6"/>
  <c r="K89" i="6"/>
  <c r="K109" i="6"/>
  <c r="K97" i="6"/>
  <c r="K110" i="6"/>
  <c r="K92" i="6"/>
  <c r="K88" i="6"/>
  <c r="K102" i="6"/>
  <c r="K98" i="6"/>
  <c r="C48" i="4"/>
  <c r="O29" i="4" s="1"/>
  <c r="N30" i="4" s="1"/>
  <c r="C40" i="4"/>
  <c r="C32" i="4"/>
  <c r="C44" i="4"/>
  <c r="C35" i="4"/>
  <c r="C26" i="4"/>
  <c r="C47" i="4"/>
  <c r="C39" i="4"/>
  <c r="C31" i="4"/>
  <c r="C36" i="4"/>
  <c r="C43" i="4"/>
  <c r="C34" i="4"/>
  <c r="C41" i="4"/>
  <c r="C46" i="4"/>
  <c r="C38" i="4"/>
  <c r="C30" i="4"/>
  <c r="C29" i="4"/>
  <c r="C28" i="4"/>
  <c r="C27" i="4"/>
  <c r="O23" i="4" s="1"/>
  <c r="N24" i="4" s="1"/>
  <c r="C42" i="4"/>
  <c r="C33" i="4"/>
  <c r="C45" i="4"/>
  <c r="C37" i="4"/>
  <c r="M37" i="10"/>
  <c r="L37" i="10"/>
  <c r="L31" i="10"/>
  <c r="M31" i="10"/>
  <c r="K41" i="10"/>
  <c r="M38" i="10"/>
  <c r="L38" i="10"/>
  <c r="L35" i="10"/>
  <c r="M35" i="10"/>
  <c r="M33" i="10"/>
  <c r="L33" i="10"/>
  <c r="T40" i="10"/>
  <c r="S40" i="10"/>
  <c r="S38" i="10"/>
  <c r="T38" i="10"/>
  <c r="T34" i="10"/>
  <c r="S34" i="10"/>
  <c r="T36" i="10"/>
  <c r="S36" i="10"/>
  <c r="M32" i="10"/>
  <c r="L32" i="10"/>
  <c r="L40" i="10"/>
  <c r="M40" i="10"/>
  <c r="L36" i="10"/>
  <c r="M36" i="10"/>
  <c r="L34" i="10"/>
  <c r="M34" i="10"/>
  <c r="S37" i="10"/>
  <c r="T37" i="10"/>
  <c r="T35" i="10"/>
  <c r="S35" i="10"/>
  <c r="S33" i="10"/>
  <c r="T33" i="10"/>
  <c r="S32" i="10"/>
  <c r="T32" i="10"/>
  <c r="R41" i="10"/>
  <c r="S39" i="10"/>
  <c r="T39" i="10"/>
  <c r="M39" i="10"/>
  <c r="L39" i="10"/>
  <c r="I19" i="6"/>
  <c r="N26" i="6"/>
  <c r="N34" i="6"/>
  <c r="I39" i="6"/>
  <c r="K39" i="6" s="1"/>
  <c r="I31" i="6"/>
  <c r="K31" i="6" s="1"/>
  <c r="I23" i="6"/>
  <c r="N21" i="6"/>
  <c r="I36" i="6"/>
  <c r="K36" i="6" s="1"/>
  <c r="N38" i="6"/>
  <c r="I27" i="6"/>
  <c r="N23" i="6"/>
  <c r="I34" i="6"/>
  <c r="K34" i="6" s="1"/>
  <c r="N24" i="6"/>
  <c r="N19" i="6"/>
  <c r="I33" i="6"/>
  <c r="K33" i="6" s="1"/>
  <c r="I25" i="6"/>
  <c r="N33" i="6"/>
  <c r="I32" i="6"/>
  <c r="K32" i="6" s="1"/>
  <c r="N40" i="6"/>
  <c r="P40" i="6" s="1"/>
  <c r="N27" i="6"/>
  <c r="N35" i="6"/>
  <c r="I38" i="6"/>
  <c r="K38" i="6" s="1"/>
  <c r="I22" i="6"/>
  <c r="I28" i="6"/>
  <c r="N22" i="6"/>
  <c r="N32" i="6"/>
  <c r="P32" i="6" s="1"/>
  <c r="N25" i="6"/>
  <c r="I40" i="6"/>
  <c r="K40" i="6" s="1"/>
  <c r="I24" i="6"/>
  <c r="N20" i="6"/>
  <c r="N28" i="6"/>
  <c r="N36" i="6"/>
  <c r="I37" i="6"/>
  <c r="K37" i="6" s="1"/>
  <c r="I29" i="6"/>
  <c r="I21" i="6"/>
  <c r="N29" i="6"/>
  <c r="N37" i="6"/>
  <c r="I20" i="6"/>
  <c r="N30" i="6"/>
  <c r="I35" i="6"/>
  <c r="K35" i="6" s="1"/>
  <c r="N31" i="6"/>
  <c r="X45" i="6" s="1"/>
  <c r="W46" i="6" s="1"/>
  <c r="N39" i="6"/>
  <c r="I26" i="6"/>
  <c r="I18" i="6"/>
  <c r="E22" i="5"/>
  <c r="N18" i="6"/>
  <c r="C23" i="5"/>
  <c r="B23" i="5"/>
  <c r="A24" i="5"/>
  <c r="D23" i="5"/>
  <c r="V23" i="5"/>
  <c r="K23" i="5"/>
  <c r="I24" i="5"/>
  <c r="L23" i="5"/>
  <c r="J23" i="5"/>
  <c r="T24" i="5"/>
  <c r="Q25" i="5"/>
  <c r="R24" i="5"/>
  <c r="S24" i="5"/>
  <c r="N22" i="5"/>
  <c r="O22" i="5" s="1"/>
  <c r="F22" i="5"/>
  <c r="G22" i="5" s="1"/>
  <c r="U23" i="5"/>
  <c r="M22" i="5"/>
  <c r="P118" i="6" l="1"/>
  <c r="U24" i="5"/>
  <c r="M41" i="10"/>
  <c r="I52" i="10" s="1"/>
  <c r="K58" i="10" s="1"/>
  <c r="T41" i="10"/>
  <c r="P52" i="10" s="1"/>
  <c r="L41" i="10"/>
  <c r="J47" i="10" s="1"/>
  <c r="I50" i="10" s="1"/>
  <c r="S41" i="10"/>
  <c r="Q47" i="10" s="1"/>
  <c r="K41" i="6"/>
  <c r="W23" i="5"/>
  <c r="E23" i="5"/>
  <c r="P36" i="6"/>
  <c r="P39" i="6"/>
  <c r="P33" i="6"/>
  <c r="P35" i="6"/>
  <c r="P38" i="6"/>
  <c r="P37" i="6"/>
  <c r="P34" i="6"/>
  <c r="V24" i="5"/>
  <c r="W24" i="5" s="1"/>
  <c r="F23" i="5"/>
  <c r="I25" i="5"/>
  <c r="L24" i="5"/>
  <c r="J24" i="5"/>
  <c r="K24" i="5"/>
  <c r="M24" i="5" s="1"/>
  <c r="N23" i="5"/>
  <c r="O23" i="5" s="1"/>
  <c r="R25" i="5"/>
  <c r="T25" i="5"/>
  <c r="Q26" i="5"/>
  <c r="S25" i="5"/>
  <c r="U25" i="5" s="1"/>
  <c r="M23" i="5"/>
  <c r="C24" i="5"/>
  <c r="A25" i="5"/>
  <c r="D25" i="5" s="1"/>
  <c r="D24" i="5"/>
  <c r="B24" i="5"/>
  <c r="R129" i="6" l="1"/>
  <c r="O50" i="6"/>
  <c r="O124" i="6"/>
  <c r="P50" i="10"/>
  <c r="R56" i="10"/>
  <c r="K56" i="10"/>
  <c r="R58" i="10"/>
  <c r="R70" i="10"/>
  <c r="R62" i="10"/>
  <c r="K70" i="10"/>
  <c r="K62" i="10"/>
  <c r="G23" i="5"/>
  <c r="E24" i="5"/>
  <c r="P41" i="6"/>
  <c r="V25" i="5"/>
  <c r="W25" i="5" s="1"/>
  <c r="N24" i="5"/>
  <c r="O24" i="5" s="1"/>
  <c r="A26" i="5"/>
  <c r="B25" i="5"/>
  <c r="T26" i="5"/>
  <c r="Q27" i="5"/>
  <c r="S26" i="5"/>
  <c r="R26" i="5"/>
  <c r="L25" i="5"/>
  <c r="I26" i="5"/>
  <c r="K25" i="5"/>
  <c r="J25" i="5"/>
  <c r="F24" i="5"/>
  <c r="X124" i="6" l="1"/>
  <c r="X50" i="6"/>
  <c r="K69" i="10"/>
  <c r="K72" i="10" s="1"/>
  <c r="K74" i="10" s="1"/>
  <c r="L74" i="10" s="1"/>
  <c r="K61" i="10"/>
  <c r="K64" i="10" s="1"/>
  <c r="K66" i="10" s="1"/>
  <c r="L66" i="10" s="1"/>
  <c r="K57" i="10"/>
  <c r="R61" i="10"/>
  <c r="R64" i="10" s="1"/>
  <c r="R66" i="10" s="1"/>
  <c r="R57" i="10"/>
  <c r="R69" i="10"/>
  <c r="R72" i="10" s="1"/>
  <c r="R74" i="10" s="1"/>
  <c r="G24" i="5"/>
  <c r="B26" i="5"/>
  <c r="D26" i="5"/>
  <c r="A27" i="5"/>
  <c r="C26" i="5"/>
  <c r="V26" i="5"/>
  <c r="N25" i="5"/>
  <c r="M25" i="5"/>
  <c r="U26" i="5"/>
  <c r="F25" i="5"/>
  <c r="I27" i="5"/>
  <c r="K26" i="5"/>
  <c r="M26" i="5" s="1"/>
  <c r="J26" i="5"/>
  <c r="L26" i="5"/>
  <c r="R27" i="5"/>
  <c r="T27" i="5"/>
  <c r="Q28" i="5"/>
  <c r="S27" i="5"/>
  <c r="E25" i="5"/>
  <c r="W26" i="5" l="1"/>
  <c r="O25" i="5"/>
  <c r="G25" i="5"/>
  <c r="E26" i="5"/>
  <c r="D27" i="5"/>
  <c r="A28" i="5"/>
  <c r="C27" i="5"/>
  <c r="B27" i="5"/>
  <c r="L27" i="5"/>
  <c r="I28" i="5"/>
  <c r="K27" i="5"/>
  <c r="M27" i="5" s="1"/>
  <c r="J27" i="5"/>
  <c r="U27" i="5"/>
  <c r="V27" i="5"/>
  <c r="W27" i="5" s="1"/>
  <c r="T28" i="5"/>
  <c r="S28" i="5"/>
  <c r="Q29" i="5"/>
  <c r="R28" i="5"/>
  <c r="N26" i="5"/>
  <c r="O26" i="5" s="1"/>
  <c r="F26" i="5"/>
  <c r="G26" i="5"/>
  <c r="E27" i="5" l="1"/>
  <c r="K28" i="5"/>
  <c r="I29" i="5"/>
  <c r="J28" i="5"/>
  <c r="L28" i="5"/>
  <c r="A29" i="5"/>
  <c r="B28" i="5"/>
  <c r="D28" i="5"/>
  <c r="C28" i="5"/>
  <c r="W28" i="5"/>
  <c r="V28" i="5"/>
  <c r="S29" i="5"/>
  <c r="Q30" i="5"/>
  <c r="R29" i="5"/>
  <c r="T29" i="5"/>
  <c r="N27" i="5"/>
  <c r="O27" i="5" s="1"/>
  <c r="G27" i="5"/>
  <c r="F27" i="5"/>
  <c r="U28" i="5"/>
  <c r="U29" i="5" l="1"/>
  <c r="N28" i="5"/>
  <c r="F28" i="5"/>
  <c r="G28" i="5"/>
  <c r="I30" i="5"/>
  <c r="J29" i="5"/>
  <c r="L29" i="5"/>
  <c r="K29" i="5"/>
  <c r="W29" i="5"/>
  <c r="V29" i="5"/>
  <c r="D29" i="5"/>
  <c r="C29" i="5"/>
  <c r="A30" i="5"/>
  <c r="B29" i="5"/>
  <c r="M28" i="5"/>
  <c r="Q31" i="5"/>
  <c r="R30" i="5"/>
  <c r="T30" i="5"/>
  <c r="S30" i="5"/>
  <c r="E28" i="5"/>
  <c r="E29" i="5" l="1"/>
  <c r="M29" i="5"/>
  <c r="O28" i="5"/>
  <c r="U30" i="5"/>
  <c r="G29" i="5"/>
  <c r="F29" i="5"/>
  <c r="N29" i="5"/>
  <c r="O29" i="5" s="1"/>
  <c r="V30" i="5"/>
  <c r="W30" i="5"/>
  <c r="D30" i="5"/>
  <c r="C30" i="5"/>
  <c r="A31" i="5"/>
  <c r="B30" i="5"/>
  <c r="L30" i="5"/>
  <c r="K30" i="5"/>
  <c r="M30" i="5" s="1"/>
  <c r="I31" i="5"/>
  <c r="J30" i="5"/>
  <c r="T31" i="5"/>
  <c r="S31" i="5"/>
  <c r="U31" i="5" s="1"/>
  <c r="Q32" i="5"/>
  <c r="R31" i="5"/>
  <c r="E30" i="5" l="1"/>
  <c r="W31" i="5"/>
  <c r="V31" i="5"/>
  <c r="O30" i="5"/>
  <c r="N30" i="5"/>
  <c r="G30" i="5"/>
  <c r="F30" i="5"/>
  <c r="T32" i="5"/>
  <c r="S32" i="5"/>
  <c r="Q33" i="5"/>
  <c r="R32" i="5"/>
  <c r="L31" i="5"/>
  <c r="K31" i="5"/>
  <c r="I32" i="5"/>
  <c r="J31" i="5"/>
  <c r="C31" i="5"/>
  <c r="A32" i="5"/>
  <c r="B31" i="5"/>
  <c r="D31" i="5"/>
  <c r="E31" i="5" l="1"/>
  <c r="K32" i="5"/>
  <c r="I33" i="5"/>
  <c r="J32" i="5"/>
  <c r="L32" i="5"/>
  <c r="A33" i="5"/>
  <c r="B32" i="5"/>
  <c r="D32" i="5"/>
  <c r="C32" i="5"/>
  <c r="M31" i="5"/>
  <c r="U32" i="5"/>
  <c r="S33" i="5"/>
  <c r="Q34" i="5"/>
  <c r="R33" i="5"/>
  <c r="T33" i="5"/>
  <c r="O31" i="5"/>
  <c r="N31" i="5"/>
  <c r="W32" i="5"/>
  <c r="V32" i="5"/>
  <c r="G31" i="5"/>
  <c r="F31" i="5"/>
  <c r="U33" i="5" l="1"/>
  <c r="M32" i="5"/>
  <c r="W33" i="5"/>
  <c r="V33" i="5"/>
  <c r="D33" i="5"/>
  <c r="C33" i="5"/>
  <c r="A34" i="5"/>
  <c r="B33" i="5"/>
  <c r="Q35" i="5"/>
  <c r="R34" i="5"/>
  <c r="T34" i="5"/>
  <c r="S34" i="5"/>
  <c r="E32" i="5"/>
  <c r="O32" i="5"/>
  <c r="N32" i="5"/>
  <c r="F32" i="5"/>
  <c r="G32" i="5"/>
  <c r="I34" i="5"/>
  <c r="J33" i="5"/>
  <c r="L33" i="5"/>
  <c r="K33" i="5"/>
  <c r="M33" i="5" l="1"/>
  <c r="N33" i="5"/>
  <c r="O33" i="5"/>
  <c r="L34" i="5"/>
  <c r="K34" i="5"/>
  <c r="I35" i="5"/>
  <c r="J34" i="5"/>
  <c r="V34" i="5"/>
  <c r="W34" i="5"/>
  <c r="E33" i="5"/>
  <c r="T35" i="5"/>
  <c r="S35" i="5"/>
  <c r="U35" i="5" s="1"/>
  <c r="Q36" i="5"/>
  <c r="R35" i="5"/>
  <c r="U34" i="5"/>
  <c r="G33" i="5"/>
  <c r="F33" i="5"/>
  <c r="D34" i="5"/>
  <c r="C34" i="5"/>
  <c r="A35" i="5"/>
  <c r="B34" i="5"/>
  <c r="G34" i="5" l="1"/>
  <c r="F34" i="5"/>
  <c r="T36" i="5"/>
  <c r="S36" i="5"/>
  <c r="Q37" i="5"/>
  <c r="R36" i="5"/>
  <c r="M34" i="5"/>
  <c r="W35" i="5"/>
  <c r="V35" i="5"/>
  <c r="C35" i="5"/>
  <c r="A36" i="5"/>
  <c r="B35" i="5"/>
  <c r="D35" i="5"/>
  <c r="E34" i="5"/>
  <c r="O34" i="5"/>
  <c r="N34" i="5"/>
  <c r="L35" i="5"/>
  <c r="K35" i="5"/>
  <c r="I36" i="5"/>
  <c r="J35" i="5"/>
  <c r="S37" i="5" l="1"/>
  <c r="Q38" i="5"/>
  <c r="R37" i="5"/>
  <c r="T37" i="5"/>
  <c r="O35" i="5"/>
  <c r="N35" i="5"/>
  <c r="G35" i="5"/>
  <c r="F35" i="5"/>
  <c r="U36" i="5"/>
  <c r="A37" i="5"/>
  <c r="B36" i="5"/>
  <c r="D36" i="5"/>
  <c r="C36" i="5"/>
  <c r="M35" i="5"/>
  <c r="E35" i="5"/>
  <c r="W36" i="5"/>
  <c r="V36" i="5"/>
  <c r="K36" i="5"/>
  <c r="I37" i="5"/>
  <c r="J36" i="5"/>
  <c r="L36" i="5"/>
  <c r="E36" i="5" l="1"/>
  <c r="U37" i="5"/>
  <c r="O36" i="5"/>
  <c r="N36" i="5"/>
  <c r="I38" i="5"/>
  <c r="J37" i="5"/>
  <c r="L37" i="5"/>
  <c r="K37" i="5"/>
  <c r="M36" i="5"/>
  <c r="F36" i="5"/>
  <c r="G36" i="5"/>
  <c r="W37" i="5"/>
  <c r="V37" i="5"/>
  <c r="D37" i="5"/>
  <c r="C37" i="5"/>
  <c r="A38" i="5"/>
  <c r="B37" i="5"/>
  <c r="Q39" i="5"/>
  <c r="R38" i="5"/>
  <c r="T38" i="5"/>
  <c r="S38" i="5"/>
  <c r="M37" i="5" l="1"/>
  <c r="U38" i="5"/>
  <c r="Q40" i="5"/>
  <c r="T39" i="5"/>
  <c r="S39" i="5"/>
  <c r="R39" i="5"/>
  <c r="N37" i="5"/>
  <c r="O37" i="5"/>
  <c r="G37" i="5"/>
  <c r="F37" i="5"/>
  <c r="L38" i="5"/>
  <c r="K38" i="5"/>
  <c r="I39" i="5"/>
  <c r="J38" i="5"/>
  <c r="D38" i="5"/>
  <c r="C38" i="5"/>
  <c r="A39" i="5"/>
  <c r="B38" i="5"/>
  <c r="V38" i="5"/>
  <c r="W38" i="5"/>
  <c r="E37" i="5"/>
  <c r="U39" i="5" l="1"/>
  <c r="C39" i="5"/>
  <c r="B39" i="5"/>
  <c r="A40" i="5"/>
  <c r="D39" i="5"/>
  <c r="G38" i="5"/>
  <c r="F38" i="5"/>
  <c r="O38" i="5"/>
  <c r="N38" i="5"/>
  <c r="W39" i="5"/>
  <c r="V39" i="5"/>
  <c r="I40" i="5"/>
  <c r="L39" i="5"/>
  <c r="K39" i="5"/>
  <c r="J39" i="5"/>
  <c r="E38" i="5"/>
  <c r="M38" i="5"/>
  <c r="Q41" i="5"/>
  <c r="R40" i="5"/>
  <c r="T40" i="5"/>
  <c r="S40" i="5"/>
  <c r="M39" i="5" l="1"/>
  <c r="E39" i="5"/>
  <c r="U40" i="5"/>
  <c r="D40" i="5"/>
  <c r="A41" i="5"/>
  <c r="B40" i="5"/>
  <c r="C40" i="5"/>
  <c r="K40" i="5"/>
  <c r="I41" i="5"/>
  <c r="J40" i="5"/>
  <c r="L40" i="5"/>
  <c r="V40" i="5"/>
  <c r="W40" i="5"/>
  <c r="O39" i="5"/>
  <c r="N39" i="5"/>
  <c r="G39" i="5"/>
  <c r="F39" i="5"/>
  <c r="T41" i="5"/>
  <c r="S41" i="5"/>
  <c r="U41" i="5" s="1"/>
  <c r="Q42" i="5"/>
  <c r="R41" i="5"/>
  <c r="E40" i="5" l="1"/>
  <c r="O40" i="5"/>
  <c r="N40" i="5"/>
  <c r="F40" i="5"/>
  <c r="G40" i="5"/>
  <c r="L41" i="5"/>
  <c r="K41" i="5"/>
  <c r="I42" i="5"/>
  <c r="J41" i="5"/>
  <c r="C41" i="5"/>
  <c r="A42" i="5"/>
  <c r="B41" i="5"/>
  <c r="D41" i="5"/>
  <c r="T42" i="5"/>
  <c r="S42" i="5"/>
  <c r="Q43" i="5"/>
  <c r="R42" i="5"/>
  <c r="M40" i="5"/>
  <c r="W41" i="5"/>
  <c r="V41" i="5"/>
  <c r="E41" i="5" l="1"/>
  <c r="W42" i="5"/>
  <c r="V42" i="5"/>
  <c r="O41" i="5"/>
  <c r="N41" i="5"/>
  <c r="K42" i="5"/>
  <c r="I43" i="5"/>
  <c r="J42" i="5"/>
  <c r="L42" i="5"/>
  <c r="S43" i="5"/>
  <c r="Q44" i="5"/>
  <c r="R43" i="5"/>
  <c r="T43" i="5"/>
  <c r="U42" i="5"/>
  <c r="A43" i="5"/>
  <c r="B42" i="5"/>
  <c r="D42" i="5"/>
  <c r="C42" i="5"/>
  <c r="M41" i="5"/>
  <c r="G41" i="5"/>
  <c r="F41" i="5"/>
  <c r="U43" i="5" l="1"/>
  <c r="M42" i="5"/>
  <c r="E42" i="5"/>
  <c r="F42" i="5"/>
  <c r="G42" i="5"/>
  <c r="W43" i="5"/>
  <c r="V43" i="5"/>
  <c r="O42" i="5"/>
  <c r="N42" i="5"/>
  <c r="D43" i="5"/>
  <c r="C43" i="5"/>
  <c r="A44" i="5"/>
  <c r="B43" i="5"/>
  <c r="Q45" i="5"/>
  <c r="R44" i="5"/>
  <c r="T44" i="5"/>
  <c r="S44" i="5"/>
  <c r="I44" i="5"/>
  <c r="J43" i="5"/>
  <c r="L43" i="5"/>
  <c r="K43" i="5"/>
  <c r="D44" i="5" l="1"/>
  <c r="C44" i="5"/>
  <c r="A45" i="5"/>
  <c r="B44" i="5"/>
  <c r="N43" i="5"/>
  <c r="O43" i="5"/>
  <c r="V44" i="5"/>
  <c r="W44" i="5"/>
  <c r="E43" i="5"/>
  <c r="L44" i="5"/>
  <c r="K44" i="5"/>
  <c r="M44" i="5" s="1"/>
  <c r="I45" i="5"/>
  <c r="J44" i="5"/>
  <c r="T45" i="5"/>
  <c r="S45" i="5"/>
  <c r="U45" i="5" s="1"/>
  <c r="Q46" i="5"/>
  <c r="R45" i="5"/>
  <c r="M43" i="5"/>
  <c r="U44" i="5"/>
  <c r="G43" i="5"/>
  <c r="F43" i="5"/>
  <c r="W45" i="5" l="1"/>
  <c r="V45" i="5"/>
  <c r="O44" i="5"/>
  <c r="N44" i="5"/>
  <c r="T46" i="5"/>
  <c r="S46" i="5"/>
  <c r="Q47" i="5"/>
  <c r="R46" i="5"/>
  <c r="L45" i="5"/>
  <c r="K45" i="5"/>
  <c r="I46" i="5"/>
  <c r="J45" i="5"/>
  <c r="G44" i="5"/>
  <c r="F44" i="5"/>
  <c r="C45" i="5"/>
  <c r="E45" i="5" s="1"/>
  <c r="A46" i="5"/>
  <c r="B45" i="5"/>
  <c r="D45" i="5"/>
  <c r="E44" i="5"/>
  <c r="A47" i="5" l="1"/>
  <c r="B46" i="5"/>
  <c r="D46" i="5"/>
  <c r="C46" i="5"/>
  <c r="O45" i="5"/>
  <c r="N45" i="5"/>
  <c r="W46" i="5"/>
  <c r="V46" i="5"/>
  <c r="K46" i="5"/>
  <c r="I47" i="5"/>
  <c r="J46" i="5"/>
  <c r="L46" i="5"/>
  <c r="S47" i="5"/>
  <c r="Q48" i="5"/>
  <c r="R47" i="5"/>
  <c r="T47" i="5"/>
  <c r="M45" i="5"/>
  <c r="U46" i="5"/>
  <c r="G45" i="5"/>
  <c r="F45" i="5"/>
  <c r="U47" i="5" l="1"/>
  <c r="M46" i="5"/>
  <c r="E46" i="5"/>
  <c r="W47" i="5"/>
  <c r="V47" i="5"/>
  <c r="O46" i="5"/>
  <c r="N46" i="5"/>
  <c r="Q49" i="5"/>
  <c r="R48" i="5"/>
  <c r="T48" i="5"/>
  <c r="S48" i="5"/>
  <c r="U48" i="5" s="1"/>
  <c r="I48" i="5"/>
  <c r="J47" i="5"/>
  <c r="L47" i="5"/>
  <c r="K47" i="5"/>
  <c r="M47" i="5" s="1"/>
  <c r="F46" i="5"/>
  <c r="G46" i="5"/>
  <c r="D47" i="5"/>
  <c r="C47" i="5"/>
  <c r="A48" i="5"/>
  <c r="B47" i="5"/>
  <c r="E47" i="5" l="1"/>
  <c r="G47" i="5"/>
  <c r="F47" i="5"/>
  <c r="N47" i="5"/>
  <c r="O47" i="5"/>
  <c r="V48" i="5"/>
  <c r="W48" i="5"/>
  <c r="D48" i="5"/>
  <c r="C48" i="5"/>
  <c r="A49" i="5"/>
  <c r="B48" i="5"/>
  <c r="L48" i="5"/>
  <c r="K48" i="5"/>
  <c r="I49" i="5"/>
  <c r="J48" i="5"/>
  <c r="T49" i="5"/>
  <c r="S49" i="5"/>
  <c r="Q50" i="5"/>
  <c r="R49" i="5"/>
  <c r="L49" i="5" l="1"/>
  <c r="K49" i="5"/>
  <c r="I50" i="5"/>
  <c r="J49" i="5"/>
  <c r="U49" i="5"/>
  <c r="M48" i="5"/>
  <c r="E48" i="5"/>
  <c r="T50" i="5"/>
  <c r="S50" i="5"/>
  <c r="Q51" i="5"/>
  <c r="R50" i="5"/>
  <c r="W49" i="5"/>
  <c r="V49" i="5"/>
  <c r="O48" i="5"/>
  <c r="N48" i="5"/>
  <c r="G48" i="5"/>
  <c r="F48" i="5"/>
  <c r="C49" i="5"/>
  <c r="A50" i="5"/>
  <c r="B49" i="5"/>
  <c r="D49" i="5"/>
  <c r="U50" i="5" l="1"/>
  <c r="A51" i="5"/>
  <c r="B50" i="5"/>
  <c r="D50" i="5"/>
  <c r="C50" i="5"/>
  <c r="G49" i="5"/>
  <c r="F49" i="5"/>
  <c r="O49" i="5"/>
  <c r="N49" i="5"/>
  <c r="W50" i="5"/>
  <c r="V50" i="5"/>
  <c r="K50" i="5"/>
  <c r="I51" i="5"/>
  <c r="J50" i="5"/>
  <c r="L50" i="5"/>
  <c r="E49" i="5"/>
  <c r="S51" i="5"/>
  <c r="Q52" i="5"/>
  <c r="R51" i="5"/>
  <c r="T51" i="5"/>
  <c r="M49" i="5"/>
  <c r="M50" i="5" l="1"/>
  <c r="U51" i="5"/>
  <c r="I52" i="5"/>
  <c r="J51" i="5"/>
  <c r="L51" i="5"/>
  <c r="K51" i="5"/>
  <c r="M51" i="5" s="1"/>
  <c r="E50" i="5"/>
  <c r="W51" i="5"/>
  <c r="V51" i="5"/>
  <c r="F50" i="5"/>
  <c r="G50" i="5"/>
  <c r="Q53" i="5"/>
  <c r="R52" i="5"/>
  <c r="T52" i="5"/>
  <c r="S52" i="5"/>
  <c r="O50" i="5"/>
  <c r="N50" i="5"/>
  <c r="D51" i="5"/>
  <c r="C51" i="5"/>
  <c r="E51" i="5" s="1"/>
  <c r="A52" i="5"/>
  <c r="B51" i="5"/>
  <c r="U52" i="5" l="1"/>
  <c r="D52" i="5"/>
  <c r="C52" i="5"/>
  <c r="A53" i="5"/>
  <c r="B52" i="5"/>
  <c r="G51" i="5"/>
  <c r="F51" i="5"/>
  <c r="V52" i="5"/>
  <c r="W52" i="5"/>
  <c r="T53" i="5"/>
  <c r="S53" i="5"/>
  <c r="Q54" i="5"/>
  <c r="R53" i="5"/>
  <c r="N51" i="5"/>
  <c r="O51" i="5"/>
  <c r="L52" i="5"/>
  <c r="K52" i="5"/>
  <c r="I53" i="5"/>
  <c r="J52" i="5"/>
  <c r="L53" i="5" l="1"/>
  <c r="K53" i="5"/>
  <c r="M53" i="5" s="1"/>
  <c r="I54" i="5"/>
  <c r="J53" i="5"/>
  <c r="M52" i="5"/>
  <c r="W53" i="5"/>
  <c r="V53" i="5"/>
  <c r="G52" i="5"/>
  <c r="F52" i="5"/>
  <c r="C53" i="5"/>
  <c r="A54" i="5"/>
  <c r="B53" i="5"/>
  <c r="D53" i="5"/>
  <c r="T54" i="5"/>
  <c r="S54" i="5"/>
  <c r="Q55" i="5"/>
  <c r="R54" i="5"/>
  <c r="O52" i="5"/>
  <c r="N52" i="5"/>
  <c r="U53" i="5"/>
  <c r="E52" i="5"/>
  <c r="E53" i="5" l="1"/>
  <c r="S55" i="5"/>
  <c r="R55" i="5"/>
  <c r="T55" i="5"/>
  <c r="D9" i="5"/>
  <c r="G53" i="5"/>
  <c r="F53" i="5"/>
  <c r="O53" i="5"/>
  <c r="N53" i="5"/>
  <c r="U54" i="5"/>
  <c r="A55" i="5"/>
  <c r="B54" i="5"/>
  <c r="D54" i="5"/>
  <c r="C54" i="5"/>
  <c r="K54" i="5"/>
  <c r="I55" i="5"/>
  <c r="J54" i="5"/>
  <c r="L54" i="5"/>
  <c r="W54" i="5"/>
  <c r="V54" i="5"/>
  <c r="U55" i="5" l="1"/>
  <c r="E54" i="5"/>
  <c r="O54" i="5"/>
  <c r="N54" i="5"/>
  <c r="F54" i="5"/>
  <c r="G54" i="5"/>
  <c r="J55" i="5"/>
  <c r="L55" i="5"/>
  <c r="K55" i="5"/>
  <c r="C9" i="5"/>
  <c r="M54" i="5"/>
  <c r="D55" i="5"/>
  <c r="C55" i="5"/>
  <c r="B55" i="5"/>
  <c r="B9" i="5"/>
  <c r="E9" i="5" s="1"/>
  <c r="W55" i="5"/>
  <c r="D10" i="5" s="1"/>
  <c r="V55" i="5"/>
  <c r="E55" i="5" l="1"/>
  <c r="M55" i="5"/>
  <c r="N55" i="5"/>
  <c r="O55" i="5"/>
  <c r="C10" i="5" s="1"/>
  <c r="G55" i="5"/>
  <c r="B10" i="5" s="1"/>
  <c r="F55" i="5"/>
  <c r="D14" i="5"/>
  <c r="X21" i="5"/>
  <c r="D15" i="5" s="1"/>
  <c r="X22" i="5"/>
  <c r="X23" i="5"/>
  <c r="X24" i="5"/>
  <c r="X25" i="5"/>
  <c r="X26" i="5"/>
  <c r="X27" i="5"/>
  <c r="E10" i="5" l="1"/>
  <c r="D18" i="5" s="1"/>
  <c r="B14" i="5"/>
  <c r="E14" i="4" s="1"/>
  <c r="H21" i="5"/>
  <c r="B15" i="5" s="1"/>
  <c r="H22" i="5"/>
  <c r="H23" i="5"/>
  <c r="C14" i="5"/>
  <c r="P21" i="5"/>
  <c r="P22" i="5"/>
  <c r="P23" i="5"/>
  <c r="P24" i="5"/>
  <c r="C17" i="5" l="1"/>
  <c r="C18" i="5"/>
  <c r="B18" i="5"/>
  <c r="D17" i="5"/>
  <c r="C15" i="5"/>
  <c r="B17" i="5"/>
  <c r="E15" i="5" l="1"/>
</calcChain>
</file>

<file path=xl/sharedStrings.xml><?xml version="1.0" encoding="utf-8"?>
<sst xmlns="http://schemas.openxmlformats.org/spreadsheetml/2006/main" count="613" uniqueCount="226">
  <si>
    <t>Monto a invertir para renta fija=</t>
  </si>
  <si>
    <t>Monto a invertir para CDT=</t>
  </si>
  <si>
    <t xml:space="preserve">Opción 1: </t>
  </si>
  <si>
    <t>Banco Itaú</t>
  </si>
  <si>
    <t>Tasa efectiva anual</t>
  </si>
  <si>
    <t>Tasa efectiva mensual=</t>
  </si>
  <si>
    <t>1. Se revisa el efectivo de la compañìa obtenido directamente del sistema contable de la misma</t>
  </si>
  <si>
    <t>Valor de distribución</t>
  </si>
  <si>
    <t>2. Con base en los inicadores de liquidez, se determina el monto a invertir, dividiendose en inversión, financiación y operación.</t>
  </si>
  <si>
    <t>3. Se determina el monto disponible para inversiones.</t>
  </si>
  <si>
    <t>4. Se determina el monto disponible para inversiones en renta fija, tanto en CDT´s y para bonos</t>
  </si>
  <si>
    <t>Tabla de capitalización</t>
  </si>
  <si>
    <t>1. Se procede a investigar las tasas ofrecidas por los bancos</t>
  </si>
  <si>
    <t>2. Con base en las tasa, se determina el monto a invertir y el monto de distribución en cada inversión</t>
  </si>
  <si>
    <t>3. Realización de table de capitalización.</t>
  </si>
  <si>
    <t>Fecha valoración</t>
  </si>
  <si>
    <t>TÍTULO 1 (Bono de Ecopetrol)</t>
  </si>
  <si>
    <t>TÍTULO 2 (TES - Banrep)</t>
  </si>
  <si>
    <t>TÍTULO 3 (Banco Popular)</t>
  </si>
  <si>
    <t>Vencimiento</t>
  </si>
  <si>
    <t>Fecha siguiente cupón</t>
  </si>
  <si>
    <t>Yield to maturity</t>
  </si>
  <si>
    <t>Valor nominal</t>
  </si>
  <si>
    <t>Cupón</t>
  </si>
  <si>
    <t>Número de flujos</t>
  </si>
  <si>
    <t>Precio sucio</t>
  </si>
  <si>
    <t>Fecha cupón anterior</t>
  </si>
  <si>
    <t>Días desde últ. Cupón</t>
  </si>
  <si>
    <t>Interés corrido cupón</t>
  </si>
  <si>
    <t>Precio limpio</t>
  </si>
  <si>
    <t>Duración en Años</t>
  </si>
  <si>
    <t>FLUJOS DE CAJA TÍTULO 1</t>
  </si>
  <si>
    <t>FLUJOS DE CAJA TÍTULO 2</t>
  </si>
  <si>
    <t>FLUJOS DE CAJA TÍTULO 3</t>
  </si>
  <si>
    <t>Fecha</t>
  </si>
  <si>
    <t>Días</t>
  </si>
  <si>
    <t>Principal</t>
  </si>
  <si>
    <t>V. Flujo T1</t>
  </si>
  <si>
    <t>Factor Dcto.</t>
  </si>
  <si>
    <t>V. Presente T1</t>
  </si>
  <si>
    <t>V. Flujo T2</t>
  </si>
  <si>
    <t>V. Presente T2</t>
  </si>
  <si>
    <t>V. Flujo T3</t>
  </si>
  <si>
    <t>V. Presente T3</t>
  </si>
  <si>
    <t>Cuenta</t>
  </si>
  <si>
    <t>Bancos</t>
  </si>
  <si>
    <t>Débito</t>
  </si>
  <si>
    <t>Crédito</t>
  </si>
  <si>
    <t>Instrumentos financieros - inversiones en renta fija - CDT (Banco Itaú)</t>
  </si>
  <si>
    <t>Instrumentos financieros - inversiones en renta fija - Bonos (Ecopetrol)</t>
  </si>
  <si>
    <t>Valoración de la inversión</t>
  </si>
  <si>
    <t>UNIVERSIDAD EXTERNADO DE COLOMBIA</t>
  </si>
  <si>
    <t>FINANZAS INTERNACIONALES</t>
  </si>
  <si>
    <t>CALIFICACIÓN</t>
  </si>
  <si>
    <t>Cometieron error en las valoración a septiembre, debido al periodo (t) utilizado.</t>
  </si>
  <si>
    <t>EJERCICIO MARZO 14 2020</t>
  </si>
  <si>
    <t>TALLER DE VALORACIÓN DE INVERSIONES DE RENTA FIJA</t>
  </si>
  <si>
    <t>Efectúe la valoración mensual de julio, septiembre y noviembre de 2019 de las siguientes inversiones de renta fija.</t>
  </si>
  <si>
    <t>Título hasta el Vencimiento</t>
  </si>
  <si>
    <t>Título Negociable</t>
  </si>
  <si>
    <t>Titulo hasta el vencimiento</t>
  </si>
  <si>
    <t>Titulo negociable</t>
  </si>
  <si>
    <t>Fecha Cupón</t>
  </si>
  <si>
    <t>Valor Cupón</t>
  </si>
  <si>
    <t xml:space="preserve">Periodo </t>
  </si>
  <si>
    <t>Valor Presente</t>
  </si>
  <si>
    <t>Tasa de interés del título</t>
  </si>
  <si>
    <t>5% anual</t>
  </si>
  <si>
    <t xml:space="preserve">Fecha de pago de rendimientos </t>
  </si>
  <si>
    <t>Trimestral vencido</t>
  </si>
  <si>
    <t>Fecha de emisión</t>
  </si>
  <si>
    <t>Marzo 31 de 2018</t>
  </si>
  <si>
    <t>Fecha de vencimiento</t>
  </si>
  <si>
    <t>Diciembre 31 de 2020</t>
  </si>
  <si>
    <t>Valor de compra</t>
  </si>
  <si>
    <t>Fecha de compra</t>
  </si>
  <si>
    <t>Junio 30 de 2019</t>
  </si>
  <si>
    <t>a TASA DE MERCADO</t>
  </si>
  <si>
    <t>Tasas de mercado (anual)</t>
  </si>
  <si>
    <t>TIR</t>
  </si>
  <si>
    <t xml:space="preserve">Con respecto a la inversión negociable, indique que pasaría con el valor a noviembre 30 de 2019 si la tasa de mercado cambiara a 5.0% y si la tasa </t>
  </si>
  <si>
    <t>de mercado cambiara a 3.9%.  Tenga en cuenta que la tasa inicialmente era 4.2%.</t>
  </si>
  <si>
    <t>Suponga que el título negociable tiene vencimiento en diciembre 31 de 2021, manteniendo todas las demás condiciones iguales, halle el valor de</t>
  </si>
  <si>
    <t>la inversión a noviembre de 2019 con tasas de mercado de a)4.2%; b)5.0% y c)3.9%.  Indique si este título se vió afectado en la misma proporción</t>
  </si>
  <si>
    <t>que el título original (vencimiento en diciembre de 2020) ante los cambios en tasas de mercado.</t>
  </si>
  <si>
    <t>Integrantes</t>
  </si>
  <si>
    <t>Angulo Yenifer</t>
  </si>
  <si>
    <t>Bohórquez Vesga Daniel</t>
  </si>
  <si>
    <t>Noriega Gustavo</t>
  </si>
  <si>
    <t>Ramírez Ferney</t>
  </si>
  <si>
    <t>Ramírez David</t>
  </si>
  <si>
    <t>Error, el primer flujo debe ser 1 y así sucesivamente.  Ustedes empezaron desde 2</t>
  </si>
  <si>
    <t>Título</t>
  </si>
  <si>
    <t>Tasa</t>
  </si>
  <si>
    <t>Valoración</t>
  </si>
  <si>
    <t>Tasa Original</t>
  </si>
  <si>
    <t>Tasa Superior</t>
  </si>
  <si>
    <t>Tasa Inferior</t>
  </si>
  <si>
    <t>Título a 2021</t>
  </si>
  <si>
    <t>Variaciones</t>
  </si>
  <si>
    <t>2021</t>
  </si>
  <si>
    <t>2020</t>
  </si>
  <si>
    <t>Título a 2020</t>
  </si>
  <si>
    <t>En el caso que el título original pactado a 2020, sufriera variaciones al alza y a la baja en la tasa, se observa que la valoración tiene un comportamiento inverso, como es esperado, es decir, si la tasa sube, el valor baja y viceversa. Ahora si el vencimiento fuera a 2021, se conserva la relación y es de notar que cuando la tasa sube a 5%, partiendo de 4,2% la valoración del título es la misma para ambos años y se profundiza la variación al pasar de -0,83% a -1,55%, a una tasa del 5%; y, de 0,31% a 0,59% en el caso de caida en la tasa a 3,9%, como consecuencia de una mayor cantidad de periodos descontados.</t>
  </si>
  <si>
    <t>EA</t>
  </si>
  <si>
    <t>Mes vencido</t>
  </si>
  <si>
    <t>31 de diciembre de 2020</t>
  </si>
  <si>
    <t>EM</t>
  </si>
  <si>
    <t xml:space="preserve">Opción seleccionada: </t>
  </si>
  <si>
    <t>Inversión en CDT</t>
  </si>
  <si>
    <t>CDT:</t>
  </si>
  <si>
    <t>Inversión en Bonos de Ecopetrol</t>
  </si>
  <si>
    <r>
      <rPr>
        <b/>
        <i/>
        <sz val="11"/>
        <color theme="1"/>
        <rFont val="Arial"/>
        <family val="2"/>
      </rPr>
      <t xml:space="preserve">Conclusión: </t>
    </r>
    <r>
      <rPr>
        <sz val="11"/>
        <color theme="1"/>
        <rFont val="Arial"/>
        <family val="2"/>
      </rPr>
      <t>Se dejará un total del 40% del monto a invertir para renta fija disponible para inversión en CDT´s, el cual se distribuirá en una inversión en el Banco Itaú.</t>
    </r>
  </si>
  <si>
    <t>Contabilizaciones</t>
  </si>
  <si>
    <t>anual</t>
  </si>
  <si>
    <t>Trimestral Vencido</t>
  </si>
  <si>
    <t>Fecha compra</t>
  </si>
  <si>
    <t>Si aumenta tasa de mercado, el titulo se desvaloriza</t>
  </si>
  <si>
    <t>SI bajan las tasas de mercado, el titulo se valoriza</t>
  </si>
  <si>
    <t>Corregido</t>
  </si>
  <si>
    <t>Que efecto tiene las tasas de mercado en titulod hasta el vencimiento? No tiene efecto</t>
  </si>
  <si>
    <t>Si se compraba en Julio (No trimestre exacto)</t>
  </si>
  <si>
    <t>Utilizar TIR no periódica</t>
  </si>
  <si>
    <t>El resultado es anual</t>
  </si>
  <si>
    <t>TV</t>
  </si>
  <si>
    <t>DURACIÓN: Está dada en años</t>
  </si>
  <si>
    <t>Cuanto puede ser el efecto en las tasas de mercado en cuento al cambio del título</t>
  </si>
  <si>
    <t>El titulo de mayor duración, se va más afectado en cuento a Valorización y desvalorización</t>
  </si>
  <si>
    <t>Duración máximo 1,5 años en el ejemplo anterior</t>
  </si>
  <si>
    <t>Ejemplo</t>
  </si>
  <si>
    <t>Valor actual</t>
  </si>
  <si>
    <t>Duración Modificada</t>
  </si>
  <si>
    <t>Nos ayuda a medir el riesgo</t>
  </si>
  <si>
    <t>Cambio por Duración</t>
  </si>
  <si>
    <t>-Duración Modificada * Cambio Tasa de Mercado</t>
  </si>
  <si>
    <t>-DM*Cambio TM</t>
  </si>
  <si>
    <t>Si tasa de mercado aumenta 2%</t>
  </si>
  <si>
    <t>Aum o Dism del Título</t>
  </si>
  <si>
    <t>SI TM &gt; 2%</t>
  </si>
  <si>
    <t>El título quedaría aprox en</t>
  </si>
  <si>
    <t>Si TM &lt; 1%</t>
  </si>
  <si>
    <t>¿CÓMO SE CALCULO LA DURACIÓN?</t>
  </si>
  <si>
    <t>EJEMPLO</t>
  </si>
  <si>
    <t>Tasa Nominal</t>
  </si>
  <si>
    <t xml:space="preserve">Termino </t>
  </si>
  <si>
    <t>años</t>
  </si>
  <si>
    <t>Paga semestre vencido</t>
  </si>
  <si>
    <t xml:space="preserve">Valor Título </t>
  </si>
  <si>
    <t>Si fuera bimetsral sería 6</t>
  </si>
  <si>
    <t>K</t>
  </si>
  <si>
    <t>porque hay 2 pagos por año</t>
  </si>
  <si>
    <t>Si fuera anual sería 1</t>
  </si>
  <si>
    <t>t*VP</t>
  </si>
  <si>
    <t>t*(t+1)*VP</t>
  </si>
  <si>
    <t>DURACIÓN MACAULAY=</t>
  </si>
  <si>
    <t>Sum (t*pv)/k*Sum (Vp título)</t>
  </si>
  <si>
    <t>DURACIÓN MODIFICADA=</t>
  </si>
  <si>
    <t>DURACIÓN MACAULAY / (1+TM/K)</t>
  </si>
  <si>
    <t>Si TM &gt;2%</t>
  </si>
  <si>
    <t>Si TM &lt;1%</t>
  </si>
  <si>
    <t>CONVEXIDAD</t>
  </si>
  <si>
    <t>Cambio en tasas de Mercado</t>
  </si>
  <si>
    <t>Aumento</t>
  </si>
  <si>
    <t>Cambio por duración</t>
  </si>
  <si>
    <t>Cambio por convexidad</t>
  </si>
  <si>
    <t>(1/2)*Convexidad*(Cambio Tasas^2)</t>
  </si>
  <si>
    <t>Sumatoria Cambios</t>
  </si>
  <si>
    <t>Cambio Título</t>
  </si>
  <si>
    <t xml:space="preserve">Valor actual </t>
  </si>
  <si>
    <t>Convexidad</t>
  </si>
  <si>
    <t>TM &lt; 2%</t>
  </si>
  <si>
    <t>Sumatoria cambios</t>
  </si>
  <si>
    <t>Valor Final</t>
  </si>
  <si>
    <t>Hallar duración modificada</t>
  </si>
  <si>
    <t>TM&gt;1%</t>
  </si>
  <si>
    <t>Valor Título Disminuye</t>
  </si>
  <si>
    <t>?</t>
  </si>
  <si>
    <t>Cambio Convexidad</t>
  </si>
  <si>
    <t>Cambio Total</t>
  </si>
  <si>
    <t>-dm*1%=-2%</t>
  </si>
  <si>
    <t>Despejo DM</t>
  </si>
  <si>
    <t>DM =</t>
  </si>
  <si>
    <t>2. Se realiza la conversión de tasa.</t>
  </si>
  <si>
    <t>1. Una vez realizadas y verificadas las inversiones, se procede a hacer el procedimiento.</t>
  </si>
  <si>
    <t>3. Se debe hallar la TIR.</t>
  </si>
  <si>
    <t>4. Se procede a hacer la valoración para CDT y Bonos.</t>
  </si>
  <si>
    <t>Disminución</t>
  </si>
  <si>
    <t>Ingresos financieros - mayor valor de la inversión</t>
  </si>
  <si>
    <t>Instrumentos financieros - inversiones en renta fija - Bonos en Ecopetrol</t>
  </si>
  <si>
    <t>Titulo Negociable</t>
  </si>
  <si>
    <t>28 de febrero de 2019</t>
  </si>
  <si>
    <t>Título negociable (Valoración a 29 Febrero /2020)</t>
  </si>
  <si>
    <t>Título negociable (Valoración a 31 de marzo/2020)</t>
  </si>
  <si>
    <t>Tasa de mercado 29/02/2020</t>
  </si>
  <si>
    <t>Tasa de mercado 31/03/2020</t>
  </si>
  <si>
    <t>IBR Nominal Anual</t>
  </si>
  <si>
    <t>Contabilización  Valoración a 29 de Febrero de 2020</t>
  </si>
  <si>
    <t>Contabilización Valoración a 31 de marzo de 2020</t>
  </si>
  <si>
    <t>Título hasta el vencimiento (Valoración a 29 Febrero /2020)</t>
  </si>
  <si>
    <t>Título hasta el vencimiento (Valoración a 31 de marzo/2020)</t>
  </si>
  <si>
    <t>E.A</t>
  </si>
  <si>
    <t>XIRR (Resultado Efectiva Anual)</t>
  </si>
  <si>
    <t>E.M</t>
  </si>
  <si>
    <t>Ingresos financieros - rendimientos CDT (Banco Itaú)</t>
  </si>
  <si>
    <t>Contabilización Valoración a 29 de febero de 2020</t>
  </si>
  <si>
    <t>Contabilización Valoración a 31 de marzo 2020</t>
  </si>
  <si>
    <t>Duración y convexidad (valoración 29 de febrero de 2020)</t>
  </si>
  <si>
    <t>Duración y convexidad (valoración 31 de marzo de 2020)</t>
  </si>
  <si>
    <t>Mensual</t>
  </si>
  <si>
    <t xml:space="preserve"> DURACIÓN Y CONVEXIDAD CON VALORACIÓN A 29 DE FEBRERO DE 2020</t>
  </si>
  <si>
    <t>DURACIÓN MACAULAY</t>
  </si>
  <si>
    <t>DURACIÓN MODIFICADA</t>
  </si>
  <si>
    <t xml:space="preserve">Título negociable </t>
  </si>
  <si>
    <t>Mes a mes se realiza el respectivo pago de intereses</t>
  </si>
  <si>
    <t>Contabilización sin tener en cuenta la Valoración de la Inversión a ciertas fechas que la compañía consideraría</t>
  </si>
  <si>
    <t>NO SE PEDÍA</t>
  </si>
  <si>
    <t>Saldo Inversión</t>
  </si>
  <si>
    <t>Ingresos financieros - Rendimientos CDT (Banco Itaú)</t>
  </si>
  <si>
    <t>Tasa de mercado 30/04/2020</t>
  </si>
  <si>
    <t>Contabilización  Valoración a 30 de abril de 2020</t>
  </si>
  <si>
    <t>Contabilización Valoración a 30 de abril de 2020</t>
  </si>
  <si>
    <t>Título negociable (Valoración a 30 abril /2020)</t>
  </si>
  <si>
    <t>Bancos (Intereses Recibidos)</t>
  </si>
  <si>
    <t>VP</t>
  </si>
  <si>
    <t>INVERSIÓN CERTIFICADO DE DEPÓSITO A TÉRMINO</t>
  </si>
  <si>
    <t xml:space="preserve">Inversión Bonos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</si>
</sst>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dd\-mmm\-yyyy"/>
    <numFmt numFmtId="167" formatCode="0.000"/>
    <numFmt numFmtId="168" formatCode="&quot;$&quot;#,##0"/>
    <numFmt numFmtId="169" formatCode="&quot;$&quot;#,##0.000"/>
    <numFmt numFmtId="170" formatCode="&quot;$&quot;#,##0.00"/>
    <numFmt numFmtId="171" formatCode="_-* #,##0.00_-;\-* #,##0.00_-;_-* &quot;-&quot;_-;_-@_-"/>
    <numFmt numFmtId="172" formatCode="0.00000"/>
    <numFmt numFmtId="173" formatCode="0.0%"/>
    <numFmt numFmtId="174" formatCode="&quot;$&quot;\ #,##0"/>
    <numFmt numFmtId="175" formatCode="_(* #,##0.00_);_(* \(#,##0.00\);_(* &quot;-&quot;??_);_(@_)"/>
    <numFmt numFmtId="176" formatCode="0.0000%"/>
    <numFmt numFmtId="177" formatCode="&quot;$&quot;\ #,##0.00\ ;\(\ &quot;$&quot;\ #,##0.00\)"/>
    <numFmt numFmtId="178" formatCode="0.000%"/>
    <numFmt numFmtId="179" formatCode="&quot;$&quot;\ #,##0.00"/>
    <numFmt numFmtId="180" formatCode="&quot;$&quot;\ #,##0\ ;\(\ &quot;$&quot;\ #,##0\)"/>
    <numFmt numFmtId="181" formatCode="_-* #,##0.00\ _p_t_a_-;\-* #,##0.00\ _p_t_a_-;_-* &quot;-&quot;??\ _p_t_a_-;_-@_-"/>
    <numFmt numFmtId="182" formatCode="_-* #,##0.0_-;\-* #,##0.0_-;_-* &quot;-&quot;_-;_-@_-"/>
    <numFmt numFmtId="183" formatCode="_-* #,##0.0000_-;\-* #,##0.0000_-;_-* &quot;-&quot;_-;_-@_-"/>
    <numFmt numFmtId="184" formatCode="0.00000%"/>
    <numFmt numFmtId="185" formatCode="0.0000"/>
    <numFmt numFmtId="186" formatCode="_-* #,##0.000_-;\-* #,##0.000_-;_-* &quot;-&quot;_-;_-@_-"/>
    <numFmt numFmtId="187" formatCode="_-* #,##0.00000000_-;\-* #,##0.00000000_-;_-* &quot;-&quot;???_-;_-@_-"/>
    <numFmt numFmtId="188" formatCode="&quot;$&quot;\ #,##0.000;[Red]\-&quot;$&quot;\ #,##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2"/>
      <color theme="0"/>
      <name val="Times New Roman"/>
      <family val="1"/>
    </font>
    <font>
      <sz val="16"/>
      <name val="Times New Roman"/>
      <family val="1"/>
    </font>
    <font>
      <b/>
      <sz val="1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2"/>
      <color theme="0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5" fillId="0" borderId="0"/>
    <xf numFmtId="175" fontId="11" fillId="0" borderId="0" applyNumberFormat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399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/>
    <xf numFmtId="3" fontId="3" fillId="2" borderId="0" xfId="0" applyNumberFormat="1" applyFont="1" applyFill="1"/>
    <xf numFmtId="0" fontId="3" fillId="2" borderId="1" xfId="0" applyFont="1" applyFill="1" applyBorder="1"/>
    <xf numFmtId="10" fontId="3" fillId="2" borderId="1" xfId="0" applyNumberFormat="1" applyFont="1" applyFill="1" applyBorder="1"/>
    <xf numFmtId="3" fontId="3" fillId="2" borderId="1" xfId="0" applyNumberFormat="1" applyFont="1" applyFill="1" applyBorder="1"/>
    <xf numFmtId="10" fontId="3" fillId="2" borderId="1" xfId="1" applyNumberFormat="1" applyFont="1" applyFill="1" applyBorder="1"/>
    <xf numFmtId="0" fontId="3" fillId="2" borderId="0" xfId="0" applyFont="1" applyFill="1" applyBorder="1"/>
    <xf numFmtId="0" fontId="7" fillId="2" borderId="0" xfId="0" applyFont="1" applyFill="1"/>
    <xf numFmtId="0" fontId="6" fillId="2" borderId="0" xfId="0" applyFont="1" applyFill="1" applyBorder="1"/>
    <xf numFmtId="0" fontId="10" fillId="0" borderId="2" xfId="0" applyFont="1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0" fillId="4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3" fontId="0" fillId="0" borderId="0" xfId="0" applyNumberFormat="1"/>
    <xf numFmtId="10" fontId="0" fillId="0" borderId="2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41" fontId="0" fillId="0" borderId="0" xfId="2" applyFont="1" applyAlignment="1">
      <alignment vertical="center"/>
    </xf>
    <xf numFmtId="168" fontId="0" fillId="4" borderId="2" xfId="0" applyNumberFormat="1" applyFill="1" applyBorder="1" applyAlignment="1">
      <alignment vertical="center"/>
    </xf>
    <xf numFmtId="41" fontId="0" fillId="4" borderId="0" xfId="2" applyFont="1" applyFill="1" applyAlignment="1">
      <alignment vertical="center"/>
    </xf>
    <xf numFmtId="1" fontId="0" fillId="0" borderId="2" xfId="0" applyNumberFormat="1" applyBorder="1" applyAlignment="1">
      <alignment vertical="center"/>
    </xf>
    <xf numFmtId="169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169" fontId="0" fillId="5" borderId="2" xfId="0" applyNumberFormat="1" applyFill="1" applyBorder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70" fontId="0" fillId="0" borderId="2" xfId="0" applyNumberFormat="1" applyBorder="1" applyAlignment="1">
      <alignment vertical="center"/>
    </xf>
    <xf numFmtId="169" fontId="0" fillId="0" borderId="2" xfId="0" applyNumberFormat="1" applyBorder="1" applyAlignment="1">
      <alignment vertical="center"/>
    </xf>
    <xf numFmtId="171" fontId="0" fillId="0" borderId="2" xfId="2" applyNumberFormat="1" applyFont="1" applyBorder="1" applyAlignment="1">
      <alignment vertical="center"/>
    </xf>
    <xf numFmtId="2" fontId="0" fillId="0" borderId="2" xfId="0" applyNumberFormat="1" applyBorder="1" applyAlignment="1">
      <alignment vertical="center"/>
    </xf>
    <xf numFmtId="171" fontId="0" fillId="0" borderId="0" xfId="2" applyNumberFormat="1" applyFont="1" applyAlignment="1">
      <alignment vertical="center"/>
    </xf>
    <xf numFmtId="0" fontId="9" fillId="6" borderId="4" xfId="0" applyFon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173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2" fillId="2" borderId="1" xfId="0" applyFont="1" applyFill="1" applyBorder="1"/>
    <xf numFmtId="14" fontId="3" fillId="2" borderId="1" xfId="0" applyNumberFormat="1" applyFont="1" applyFill="1" applyBorder="1"/>
    <xf numFmtId="165" fontId="3" fillId="2" borderId="1" xfId="3" applyFont="1" applyFill="1" applyBorder="1"/>
    <xf numFmtId="174" fontId="0" fillId="4" borderId="2" xfId="0" applyNumberFormat="1" applyFill="1" applyBorder="1" applyAlignment="1">
      <alignment vertical="center"/>
    </xf>
    <xf numFmtId="3" fontId="0" fillId="2" borderId="0" xfId="0" applyNumberFormat="1" applyFill="1"/>
    <xf numFmtId="0" fontId="12" fillId="0" borderId="0" xfId="4" applyFont="1"/>
    <xf numFmtId="0" fontId="13" fillId="0" borderId="0" xfId="4" applyFont="1"/>
    <xf numFmtId="0" fontId="14" fillId="4" borderId="5" xfId="4" applyFont="1" applyFill="1" applyBorder="1"/>
    <xf numFmtId="0" fontId="14" fillId="4" borderId="6" xfId="4" applyFont="1" applyFill="1" applyBorder="1"/>
    <xf numFmtId="0" fontId="14" fillId="0" borderId="0" xfId="4" applyFont="1"/>
    <xf numFmtId="0" fontId="16" fillId="0" borderId="0" xfId="5" applyFont="1" applyAlignment="1">
      <alignment horizontal="center" vertical="center"/>
    </xf>
    <xf numFmtId="3" fontId="13" fillId="0" borderId="0" xfId="6" applyNumberFormat="1" applyFont="1"/>
    <xf numFmtId="14" fontId="13" fillId="0" borderId="0" xfId="4" applyNumberFormat="1" applyFont="1"/>
    <xf numFmtId="8" fontId="13" fillId="0" borderId="0" xfId="4" applyNumberFormat="1" applyFont="1"/>
    <xf numFmtId="0" fontId="13" fillId="0" borderId="0" xfId="6" applyNumberFormat="1" applyFont="1"/>
    <xf numFmtId="9" fontId="13" fillId="0" borderId="0" xfId="4" applyNumberFormat="1" applyFont="1"/>
    <xf numFmtId="12" fontId="13" fillId="0" borderId="0" xfId="4" applyNumberFormat="1" applyFont="1"/>
    <xf numFmtId="14" fontId="17" fillId="7" borderId="0" xfId="4" applyNumberFormat="1" applyFont="1" applyFill="1"/>
    <xf numFmtId="8" fontId="18" fillId="7" borderId="0" xfId="4" applyNumberFormat="1" applyFont="1" applyFill="1"/>
    <xf numFmtId="12" fontId="18" fillId="7" borderId="0" xfId="4" applyNumberFormat="1" applyFont="1" applyFill="1"/>
    <xf numFmtId="0" fontId="18" fillId="7" borderId="0" xfId="4" applyFont="1" applyFill="1"/>
    <xf numFmtId="0" fontId="18" fillId="0" borderId="0" xfId="4" applyFont="1"/>
    <xf numFmtId="173" fontId="14" fillId="8" borderId="0" xfId="4" applyNumberFormat="1" applyFont="1" applyFill="1"/>
    <xf numFmtId="0" fontId="19" fillId="0" borderId="0" xfId="4" applyFont="1"/>
    <xf numFmtId="8" fontId="15" fillId="0" borderId="0" xfId="5" applyNumberFormat="1"/>
    <xf numFmtId="0" fontId="20" fillId="7" borderId="0" xfId="4" applyFont="1" applyFill="1"/>
    <xf numFmtId="176" fontId="20" fillId="7" borderId="0" xfId="7" applyNumberFormat="1" applyFont="1" applyFill="1"/>
    <xf numFmtId="177" fontId="18" fillId="7" borderId="0" xfId="4" applyNumberFormat="1" applyFont="1" applyFill="1"/>
    <xf numFmtId="178" fontId="13" fillId="0" borderId="0" xfId="7" applyNumberFormat="1" applyFont="1"/>
    <xf numFmtId="17" fontId="14" fillId="0" borderId="0" xfId="4" applyNumberFormat="1" applyFont="1"/>
    <xf numFmtId="173" fontId="14" fillId="0" borderId="0" xfId="4" applyNumberFormat="1" applyFont="1"/>
    <xf numFmtId="17" fontId="13" fillId="0" borderId="0" xfId="4" applyNumberFormat="1" applyFont="1"/>
    <xf numFmtId="173" fontId="13" fillId="0" borderId="0" xfId="4" applyNumberFormat="1" applyFont="1"/>
    <xf numFmtId="8" fontId="21" fillId="3" borderId="0" xfId="4" applyNumberFormat="1" applyFont="1" applyFill="1" applyAlignment="1">
      <alignment vertical="center"/>
    </xf>
    <xf numFmtId="12" fontId="13" fillId="9" borderId="0" xfId="4" applyNumberFormat="1" applyFont="1" applyFill="1"/>
    <xf numFmtId="8" fontId="21" fillId="9" borderId="0" xfId="4" applyNumberFormat="1" applyFont="1" applyFill="1" applyAlignment="1">
      <alignment vertical="center"/>
    </xf>
    <xf numFmtId="0" fontId="22" fillId="9" borderId="0" xfId="4" applyFont="1" applyFill="1"/>
    <xf numFmtId="0" fontId="18" fillId="9" borderId="0" xfId="4" applyFont="1" applyFill="1"/>
    <xf numFmtId="0" fontId="14" fillId="0" borderId="0" xfId="4" applyFont="1" applyAlignment="1">
      <alignment horizontal="center"/>
    </xf>
    <xf numFmtId="8" fontId="14" fillId="0" borderId="0" xfId="4" applyNumberFormat="1" applyFont="1"/>
    <xf numFmtId="0" fontId="13" fillId="0" borderId="0" xfId="4" applyFont="1" applyAlignment="1">
      <alignment horizontal="center"/>
    </xf>
    <xf numFmtId="10" fontId="13" fillId="0" borderId="0" xfId="4" applyNumberFormat="1" applyFont="1"/>
    <xf numFmtId="10" fontId="13" fillId="0" borderId="0" xfId="7" applyNumberFormat="1" applyFont="1"/>
    <xf numFmtId="173" fontId="14" fillId="0" borderId="0" xfId="7" applyNumberFormat="1" applyFont="1"/>
    <xf numFmtId="179" fontId="14" fillId="0" borderId="0" xfId="4" applyNumberFormat="1" applyFont="1"/>
    <xf numFmtId="0" fontId="25" fillId="2" borderId="0" xfId="4" applyFont="1" applyFill="1" applyBorder="1"/>
    <xf numFmtId="164" fontId="3" fillId="2" borderId="0" xfId="0" applyNumberFormat="1" applyFont="1" applyFill="1" applyBorder="1"/>
    <xf numFmtId="0" fontId="25" fillId="2" borderId="0" xfId="6" applyNumberFormat="1" applyFont="1" applyFill="1" applyBorder="1"/>
    <xf numFmtId="10" fontId="3" fillId="2" borderId="0" xfId="0" applyNumberFormat="1" applyFont="1" applyFill="1" applyBorder="1"/>
    <xf numFmtId="9" fontId="3" fillId="2" borderId="0" xfId="0" applyNumberFormat="1" applyFont="1" applyFill="1" applyBorder="1"/>
    <xf numFmtId="10" fontId="0" fillId="2" borderId="0" xfId="1" applyNumberFormat="1" applyFont="1" applyFill="1"/>
    <xf numFmtId="14" fontId="26" fillId="7" borderId="0" xfId="4" applyNumberFormat="1" applyFont="1" applyFill="1"/>
    <xf numFmtId="180" fontId="27" fillId="7" borderId="0" xfId="4" applyNumberFormat="1" applyFont="1" applyFill="1"/>
    <xf numFmtId="0" fontId="11" fillId="0" borderId="0" xfId="4" applyAlignment="1">
      <alignment horizontal="center" vertical="center" wrapText="1"/>
    </xf>
    <xf numFmtId="164" fontId="3" fillId="2" borderId="1" xfId="0" applyNumberFormat="1" applyFont="1" applyFill="1" applyBorder="1"/>
    <xf numFmtId="12" fontId="25" fillId="0" borderId="1" xfId="4" applyNumberFormat="1" applyFont="1" applyBorder="1"/>
    <xf numFmtId="14" fontId="25" fillId="0" borderId="1" xfId="4" applyNumberFormat="1" applyFont="1" applyBorder="1"/>
    <xf numFmtId="0" fontId="4" fillId="0" borderId="1" xfId="5" applyFont="1" applyBorder="1" applyAlignment="1">
      <alignment horizontal="center" vertical="center"/>
    </xf>
    <xf numFmtId="6" fontId="3" fillId="2" borderId="1" xfId="0" applyNumberFormat="1" applyFont="1" applyFill="1" applyBorder="1"/>
    <xf numFmtId="8" fontId="5" fillId="0" borderId="1" xfId="5" applyNumberFormat="1" applyFont="1" applyBorder="1"/>
    <xf numFmtId="6" fontId="25" fillId="0" borderId="1" xfId="4" applyNumberFormat="1" applyFont="1" applyBorder="1"/>
    <xf numFmtId="0" fontId="4" fillId="2" borderId="0" xfId="0" applyFont="1" applyFill="1"/>
    <xf numFmtId="1" fontId="0" fillId="2" borderId="0" xfId="0" applyNumberFormat="1" applyFill="1"/>
    <xf numFmtId="14" fontId="3" fillId="2" borderId="0" xfId="0" applyNumberFormat="1" applyFont="1" applyFill="1" applyBorder="1"/>
    <xf numFmtId="3" fontId="5" fillId="2" borderId="0" xfId="0" applyNumberFormat="1" applyFont="1" applyFill="1"/>
    <xf numFmtId="0" fontId="5" fillId="2" borderId="0" xfId="0" applyFont="1" applyFill="1" applyAlignment="1">
      <alignment horizontal="right"/>
    </xf>
    <xf numFmtId="14" fontId="5" fillId="2" borderId="0" xfId="0" applyNumberFormat="1" applyFont="1" applyFill="1"/>
    <xf numFmtId="9" fontId="5" fillId="2" borderId="0" xfId="0" applyNumberFormat="1" applyFont="1" applyFill="1"/>
    <xf numFmtId="0" fontId="5" fillId="2" borderId="0" xfId="0" applyFont="1" applyFill="1" applyBorder="1"/>
    <xf numFmtId="0" fontId="0" fillId="2" borderId="1" xfId="0" applyFill="1" applyBorder="1"/>
    <xf numFmtId="180" fontId="5" fillId="2" borderId="1" xfId="4" applyNumberFormat="1" applyFont="1" applyFill="1" applyBorder="1"/>
    <xf numFmtId="14" fontId="5" fillId="2" borderId="1" xfId="4" applyNumberFormat="1" applyFont="1" applyFill="1" applyBorder="1"/>
    <xf numFmtId="0" fontId="31" fillId="0" borderId="0" xfId="4" applyFont="1"/>
    <xf numFmtId="176" fontId="13" fillId="0" borderId="0" xfId="7" applyNumberFormat="1" applyFont="1"/>
    <xf numFmtId="176" fontId="13" fillId="4" borderId="0" xfId="7" applyNumberFormat="1" applyFont="1" applyFill="1"/>
    <xf numFmtId="6" fontId="13" fillId="0" borderId="0" xfId="4" applyNumberFormat="1" applyFont="1"/>
    <xf numFmtId="182" fontId="13" fillId="12" borderId="0" xfId="21" applyNumberFormat="1" applyFont="1" applyFill="1"/>
    <xf numFmtId="49" fontId="13" fillId="0" borderId="0" xfId="4" applyNumberFormat="1" applyFont="1"/>
    <xf numFmtId="173" fontId="13" fillId="0" borderId="0" xfId="7" applyNumberFormat="1" applyFont="1"/>
    <xf numFmtId="42" fontId="13" fillId="0" borderId="0" xfId="22" applyFont="1"/>
    <xf numFmtId="0" fontId="32" fillId="0" borderId="0" xfId="4" applyFont="1"/>
    <xf numFmtId="9" fontId="13" fillId="0" borderId="0" xfId="4" applyNumberFormat="1" applyFont="1" applyAlignment="1">
      <alignment horizontal="center"/>
    </xf>
    <xf numFmtId="8" fontId="13" fillId="0" borderId="0" xfId="4" applyNumberFormat="1" applyFont="1" applyAlignment="1">
      <alignment horizontal="center"/>
    </xf>
    <xf numFmtId="167" fontId="13" fillId="0" borderId="0" xfId="4" applyNumberFormat="1" applyFont="1" applyAlignment="1">
      <alignment horizontal="center"/>
    </xf>
    <xf numFmtId="2" fontId="13" fillId="0" borderId="0" xfId="4" applyNumberFormat="1" applyFont="1" applyAlignment="1">
      <alignment horizontal="center"/>
    </xf>
    <xf numFmtId="2" fontId="31" fillId="0" borderId="0" xfId="4" applyNumberFormat="1" applyFont="1" applyAlignment="1">
      <alignment horizontal="center"/>
    </xf>
    <xf numFmtId="2" fontId="14" fillId="0" borderId="0" xfId="4" applyNumberFormat="1" applyFont="1" applyAlignment="1">
      <alignment horizontal="center"/>
    </xf>
    <xf numFmtId="183" fontId="13" fillId="0" borderId="0" xfId="21" applyNumberFormat="1" applyFont="1"/>
    <xf numFmtId="9" fontId="13" fillId="0" borderId="1" xfId="4" applyNumberFormat="1" applyFont="1" applyBorder="1"/>
    <xf numFmtId="0" fontId="13" fillId="0" borderId="1" xfId="4" applyFont="1" applyBorder="1"/>
    <xf numFmtId="184" fontId="14" fillId="0" borderId="1" xfId="7" applyNumberFormat="1" applyFont="1" applyBorder="1"/>
    <xf numFmtId="0" fontId="14" fillId="11" borderId="1" xfId="4" applyFont="1" applyFill="1" applyBorder="1"/>
    <xf numFmtId="0" fontId="11" fillId="0" borderId="0" xfId="4"/>
    <xf numFmtId="9" fontId="11" fillId="0" borderId="0" xfId="4" applyNumberFormat="1"/>
    <xf numFmtId="178" fontId="13" fillId="13" borderId="0" xfId="4" applyNumberFormat="1" applyFont="1" applyFill="1"/>
    <xf numFmtId="49" fontId="14" fillId="0" borderId="0" xfId="4" applyNumberFormat="1" applyFont="1"/>
    <xf numFmtId="6" fontId="25" fillId="0" borderId="1" xfId="4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2" fillId="2" borderId="0" xfId="0" applyFont="1" applyFill="1" applyBorder="1"/>
    <xf numFmtId="0" fontId="0" fillId="0" borderId="0" xfId="0" applyFill="1"/>
    <xf numFmtId="14" fontId="26" fillId="0" borderId="0" xfId="4" applyNumberFormat="1" applyFont="1" applyFill="1"/>
    <xf numFmtId="180" fontId="27" fillId="0" borderId="0" xfId="4" applyNumberFormat="1" applyFont="1" applyFill="1"/>
    <xf numFmtId="14" fontId="25" fillId="0" borderId="0" xfId="4" applyNumberFormat="1" applyFont="1" applyFill="1"/>
    <xf numFmtId="6" fontId="25" fillId="0" borderId="0" xfId="4" applyNumberFormat="1" applyFont="1" applyFill="1"/>
    <xf numFmtId="0" fontId="10" fillId="0" borderId="0" xfId="0" applyFont="1" applyFill="1"/>
    <xf numFmtId="14" fontId="26" fillId="14" borderId="1" xfId="4" applyNumberFormat="1" applyFont="1" applyFill="1" applyBorder="1"/>
    <xf numFmtId="0" fontId="26" fillId="14" borderId="1" xfId="0" applyFont="1" applyFill="1" applyBorder="1" applyAlignment="1">
      <alignment horizontal="center"/>
    </xf>
    <xf numFmtId="8" fontId="26" fillId="14" borderId="1" xfId="5" applyNumberFormat="1" applyFont="1" applyFill="1" applyBorder="1"/>
    <xf numFmtId="0" fontId="34" fillId="14" borderId="1" xfId="0" applyFont="1" applyFill="1" applyBorder="1" applyAlignment="1">
      <alignment horizontal="center"/>
    </xf>
    <xf numFmtId="14" fontId="25" fillId="0" borderId="1" xfId="4" applyNumberFormat="1" applyFont="1" applyFill="1" applyBorder="1"/>
    <xf numFmtId="6" fontId="3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28" fillId="2" borderId="0" xfId="6" applyNumberFormat="1" applyFont="1" applyFill="1" applyBorder="1"/>
    <xf numFmtId="178" fontId="2" fillId="2" borderId="0" xfId="0" applyNumberFormat="1" applyFont="1" applyFill="1" applyBorder="1"/>
    <xf numFmtId="178" fontId="2" fillId="0" borderId="0" xfId="0" applyNumberFormat="1" applyFont="1" applyFill="1"/>
    <xf numFmtId="0" fontId="3" fillId="0" borderId="0" xfId="0" applyFont="1" applyFill="1" applyBorder="1"/>
    <xf numFmtId="0" fontId="28" fillId="4" borderId="0" xfId="4" applyFont="1" applyFill="1" applyBorder="1"/>
    <xf numFmtId="0" fontId="33" fillId="0" borderId="0" xfId="0" applyFont="1" applyFill="1" applyBorder="1"/>
    <xf numFmtId="0" fontId="9" fillId="0" borderId="0" xfId="0" applyFont="1" applyFill="1" applyBorder="1"/>
    <xf numFmtId="12" fontId="25" fillId="0" borderId="1" xfId="4" applyNumberFormat="1" applyFont="1" applyFill="1" applyBorder="1"/>
    <xf numFmtId="0" fontId="2" fillId="0" borderId="0" xfId="0" applyFont="1" applyFill="1"/>
    <xf numFmtId="0" fontId="10" fillId="0" borderId="12" xfId="0" applyFont="1" applyFill="1" applyBorder="1"/>
    <xf numFmtId="0" fontId="0" fillId="0" borderId="0" xfId="0" applyFill="1" applyBorder="1"/>
    <xf numFmtId="0" fontId="0" fillId="2" borderId="0" xfId="0" applyFill="1" applyBorder="1"/>
    <xf numFmtId="0" fontId="0" fillId="2" borderId="13" xfId="0" applyFill="1" applyBorder="1"/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14" fontId="25" fillId="0" borderId="14" xfId="4" applyNumberFormat="1" applyFont="1" applyBorder="1"/>
    <xf numFmtId="0" fontId="3" fillId="2" borderId="15" xfId="0" applyFont="1" applyFill="1" applyBorder="1"/>
    <xf numFmtId="14" fontId="26" fillId="14" borderId="14" xfId="4" applyNumberFormat="1" applyFont="1" applyFill="1" applyBorder="1"/>
    <xf numFmtId="178" fontId="2" fillId="2" borderId="0" xfId="0" applyNumberFormat="1" applyFont="1" applyFill="1" applyBorder="1" applyAlignment="1">
      <alignment horizontal="left"/>
    </xf>
    <xf numFmtId="8" fontId="5" fillId="0" borderId="15" xfId="5" applyNumberFormat="1" applyFont="1" applyFill="1" applyBorder="1"/>
    <xf numFmtId="8" fontId="34" fillId="14" borderId="15" xfId="5" applyNumberFormat="1" applyFont="1" applyFill="1" applyBorder="1"/>
    <xf numFmtId="8" fontId="5" fillId="0" borderId="15" xfId="5" applyNumberFormat="1" applyFont="1" applyBorder="1"/>
    <xf numFmtId="0" fontId="3" fillId="2" borderId="10" xfId="0" applyFont="1" applyFill="1" applyBorder="1"/>
    <xf numFmtId="0" fontId="3" fillId="2" borderId="16" xfId="0" applyFont="1" applyFill="1" applyBorder="1"/>
    <xf numFmtId="14" fontId="3" fillId="0" borderId="1" xfId="0" applyNumberFormat="1" applyFont="1" applyFill="1" applyBorder="1"/>
    <xf numFmtId="10" fontId="5" fillId="2" borderId="0" xfId="1" applyNumberFormat="1" applyFont="1" applyFill="1"/>
    <xf numFmtId="178" fontId="5" fillId="2" borderId="0" xfId="1" applyNumberFormat="1" applyFont="1" applyFill="1"/>
    <xf numFmtId="0" fontId="5" fillId="2" borderId="0" xfId="0" applyFont="1" applyFill="1" applyAlignment="1">
      <alignment horizontal="center"/>
    </xf>
    <xf numFmtId="176" fontId="0" fillId="2" borderId="0" xfId="1" applyNumberFormat="1" applyFont="1" applyFill="1"/>
    <xf numFmtId="0" fontId="0" fillId="0" borderId="1" xfId="0" applyFill="1" applyBorder="1"/>
    <xf numFmtId="184" fontId="0" fillId="2" borderId="0" xfId="1" applyNumberFormat="1" applyFont="1" applyFill="1"/>
    <xf numFmtId="178" fontId="5" fillId="2" borderId="0" xfId="0" applyNumberFormat="1" applyFont="1" applyFill="1"/>
    <xf numFmtId="8" fontId="5" fillId="0" borderId="17" xfId="5" applyNumberFormat="1" applyFont="1" applyBorder="1"/>
    <xf numFmtId="6" fontId="36" fillId="15" borderId="11" xfId="0" applyNumberFormat="1" applyFont="1" applyFill="1" applyBorder="1"/>
    <xf numFmtId="176" fontId="3" fillId="0" borderId="0" xfId="0" applyNumberFormat="1" applyFont="1" applyFill="1"/>
    <xf numFmtId="0" fontId="3" fillId="0" borderId="0" xfId="0" applyFont="1" applyFill="1"/>
    <xf numFmtId="165" fontId="3" fillId="0" borderId="1" xfId="3" applyFont="1" applyFill="1" applyBorder="1"/>
    <xf numFmtId="0" fontId="28" fillId="2" borderId="1" xfId="4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9" fillId="0" borderId="0" xfId="4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8" fontId="5" fillId="0" borderId="0" xfId="5" applyNumberFormat="1" applyFont="1" applyBorder="1"/>
    <xf numFmtId="8" fontId="26" fillId="0" borderId="0" xfId="5" applyNumberFormat="1" applyFont="1" applyFill="1" applyBorder="1"/>
    <xf numFmtId="6" fontId="36" fillId="0" borderId="16" xfId="0" applyNumberFormat="1" applyFont="1" applyFill="1" applyBorder="1"/>
    <xf numFmtId="6" fontId="5" fillId="0" borderId="1" xfId="5" applyNumberFormat="1" applyFont="1" applyBorder="1" applyAlignment="1">
      <alignment horizontal="center"/>
    </xf>
    <xf numFmtId="6" fontId="36" fillId="15" borderId="18" xfId="0" applyNumberFormat="1" applyFont="1" applyFill="1" applyBorder="1"/>
    <xf numFmtId="8" fontId="26" fillId="0" borderId="1" xfId="5" applyNumberFormat="1" applyFont="1" applyFill="1" applyBorder="1"/>
    <xf numFmtId="8" fontId="5" fillId="0" borderId="1" xfId="5" applyNumberFormat="1" applyFont="1" applyFill="1" applyBorder="1"/>
    <xf numFmtId="8" fontId="34" fillId="14" borderId="1" xfId="5" applyNumberFormat="1" applyFont="1" applyFill="1" applyBorder="1"/>
    <xf numFmtId="8" fontId="29" fillId="0" borderId="0" xfId="0" applyNumberFormat="1" applyFont="1"/>
    <xf numFmtId="0" fontId="11" fillId="0" borderId="0" xfId="0" applyFont="1"/>
    <xf numFmtId="0" fontId="13" fillId="0" borderId="0" xfId="0" applyFont="1"/>
    <xf numFmtId="0" fontId="13" fillId="0" borderId="0" xfId="2" applyNumberFormat="1" applyFont="1"/>
    <xf numFmtId="185" fontId="13" fillId="0" borderId="0" xfId="0" applyNumberFormat="1" applyFont="1"/>
    <xf numFmtId="185" fontId="31" fillId="0" borderId="0" xfId="0" applyNumberFormat="1" applyFont="1"/>
    <xf numFmtId="0" fontId="14" fillId="0" borderId="0" xfId="0" applyFont="1"/>
    <xf numFmtId="186" fontId="31" fillId="0" borderId="0" xfId="2" applyNumberFormat="1" applyFont="1"/>
    <xf numFmtId="0" fontId="14" fillId="0" borderId="0" xfId="0" applyFont="1" applyAlignment="1">
      <alignment horizontal="center"/>
    </xf>
    <xf numFmtId="9" fontId="13" fillId="0" borderId="0" xfId="0" applyNumberFormat="1" applyFont="1"/>
    <xf numFmtId="9" fontId="14" fillId="0" borderId="0" xfId="0" applyNumberFormat="1" applyFont="1"/>
    <xf numFmtId="9" fontId="13" fillId="0" borderId="1" xfId="0" applyNumberFormat="1" applyFont="1" applyBorder="1"/>
    <xf numFmtId="0" fontId="13" fillId="0" borderId="1" xfId="0" applyFont="1" applyBorder="1"/>
    <xf numFmtId="187" fontId="13" fillId="0" borderId="1" xfId="0" applyNumberFormat="1" applyFont="1" applyBorder="1"/>
    <xf numFmtId="184" fontId="14" fillId="0" borderId="1" xfId="1" applyNumberFormat="1" applyFont="1" applyBorder="1"/>
    <xf numFmtId="6" fontId="14" fillId="11" borderId="1" xfId="0" applyNumberFormat="1" applyFont="1" applyFill="1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78" fontId="2" fillId="0" borderId="0" xfId="0" applyNumberFormat="1" applyFont="1" applyFill="1" applyBorder="1" applyAlignment="1">
      <alignment horizontal="left"/>
    </xf>
    <xf numFmtId="0" fontId="28" fillId="2" borderId="15" xfId="4" applyFont="1" applyFill="1" applyBorder="1" applyAlignment="1">
      <alignment horizontal="center"/>
    </xf>
    <xf numFmtId="8" fontId="26" fillId="0" borderId="15" xfId="5" applyNumberFormat="1" applyFont="1" applyFill="1" applyBorder="1"/>
    <xf numFmtId="6" fontId="5" fillId="0" borderId="15" xfId="5" applyNumberFormat="1" applyFont="1" applyBorder="1" applyAlignment="1">
      <alignment horizontal="center"/>
    </xf>
    <xf numFmtId="6" fontId="36" fillId="0" borderId="19" xfId="0" applyNumberFormat="1" applyFont="1" applyFill="1" applyBorder="1"/>
    <xf numFmtId="14" fontId="25" fillId="0" borderId="0" xfId="4" applyNumberFormat="1" applyFont="1" applyFill="1" applyBorder="1"/>
    <xf numFmtId="6" fontId="36" fillId="0" borderId="0" xfId="0" applyNumberFormat="1" applyFont="1" applyFill="1" applyBorder="1"/>
    <xf numFmtId="0" fontId="0" fillId="2" borderId="12" xfId="0" applyFill="1" applyBorder="1"/>
    <xf numFmtId="14" fontId="5" fillId="2" borderId="14" xfId="4" applyNumberFormat="1" applyFont="1" applyFill="1" applyBorder="1"/>
    <xf numFmtId="0" fontId="0" fillId="2" borderId="15" xfId="0" applyFill="1" applyBorder="1"/>
    <xf numFmtId="0" fontId="0" fillId="0" borderId="15" xfId="0" applyFill="1" applyBorder="1"/>
    <xf numFmtId="6" fontId="3" fillId="0" borderId="15" xfId="0" applyNumberFormat="1" applyFont="1" applyFill="1" applyBorder="1"/>
    <xf numFmtId="8" fontId="26" fillId="14" borderId="15" xfId="5" applyNumberFormat="1" applyFont="1" applyFill="1" applyBorder="1"/>
    <xf numFmtId="6" fontId="3" fillId="2" borderId="15" xfId="0" applyNumberFormat="1" applyFont="1" applyFill="1" applyBorder="1"/>
    <xf numFmtId="14" fontId="25" fillId="0" borderId="10" xfId="4" applyNumberFormat="1" applyFont="1" applyFill="1" applyBorder="1"/>
    <xf numFmtId="0" fontId="0" fillId="0" borderId="16" xfId="0" applyFill="1" applyBorder="1"/>
    <xf numFmtId="0" fontId="28" fillId="0" borderId="0" xfId="4" applyFont="1" applyFill="1" applyBorder="1"/>
    <xf numFmtId="0" fontId="4" fillId="2" borderId="0" xfId="0" applyFont="1" applyFill="1" applyBorder="1" applyAlignment="1"/>
    <xf numFmtId="0" fontId="29" fillId="0" borderId="0" xfId="4" applyFont="1" applyBorder="1" applyAlignment="1">
      <alignment vertical="center" wrapText="1"/>
    </xf>
    <xf numFmtId="178" fontId="2" fillId="16" borderId="0" xfId="0" applyNumberFormat="1" applyFont="1" applyFill="1" applyBorder="1" applyAlignment="1">
      <alignment horizontal="center"/>
    </xf>
    <xf numFmtId="178" fontId="2" fillId="16" borderId="0" xfId="0" applyNumberFormat="1" applyFont="1" applyFill="1" applyAlignment="1">
      <alignment horizontal="center"/>
    </xf>
    <xf numFmtId="188" fontId="0" fillId="2" borderId="0" xfId="0" applyNumberFormat="1" applyFill="1"/>
    <xf numFmtId="0" fontId="10" fillId="11" borderId="0" xfId="0" applyFont="1" applyFill="1"/>
    <xf numFmtId="0" fontId="0" fillId="11" borderId="0" xfId="0" applyFill="1"/>
    <xf numFmtId="6" fontId="0" fillId="2" borderId="0" xfId="0" applyNumberFormat="1" applyFill="1"/>
    <xf numFmtId="8" fontId="29" fillId="11" borderId="0" xfId="0" applyNumberFormat="1" applyFont="1" applyFill="1"/>
    <xf numFmtId="0" fontId="11" fillId="11" borderId="0" xfId="0" applyFont="1" applyFill="1"/>
    <xf numFmtId="0" fontId="13" fillId="11" borderId="0" xfId="0" applyFont="1" applyFill="1"/>
    <xf numFmtId="0" fontId="13" fillId="11" borderId="0" xfId="2" applyNumberFormat="1" applyFont="1" applyFill="1"/>
    <xf numFmtId="185" fontId="13" fillId="11" borderId="0" xfId="0" applyNumberFormat="1" applyFont="1" applyFill="1"/>
    <xf numFmtId="185" fontId="31" fillId="11" borderId="0" xfId="0" applyNumberFormat="1" applyFont="1" applyFill="1"/>
    <xf numFmtId="0" fontId="14" fillId="11" borderId="0" xfId="0" applyFont="1" applyFill="1"/>
    <xf numFmtId="186" fontId="31" fillId="11" borderId="0" xfId="2" applyNumberFormat="1" applyFont="1" applyFill="1"/>
    <xf numFmtId="0" fontId="14" fillId="11" borderId="0" xfId="0" applyFont="1" applyFill="1" applyAlignment="1">
      <alignment horizontal="center"/>
    </xf>
    <xf numFmtId="9" fontId="13" fillId="11" borderId="0" xfId="0" applyNumberFormat="1" applyFont="1" applyFill="1"/>
    <xf numFmtId="9" fontId="14" fillId="11" borderId="0" xfId="0" applyNumberFormat="1" applyFont="1" applyFill="1"/>
    <xf numFmtId="9" fontId="13" fillId="11" borderId="1" xfId="0" applyNumberFormat="1" applyFont="1" applyFill="1" applyBorder="1"/>
    <xf numFmtId="0" fontId="13" fillId="11" borderId="1" xfId="0" applyFont="1" applyFill="1" applyBorder="1"/>
    <xf numFmtId="187" fontId="13" fillId="11" borderId="1" xfId="0" applyNumberFormat="1" applyFont="1" applyFill="1" applyBorder="1"/>
    <xf numFmtId="184" fontId="14" fillId="11" borderId="1" xfId="1" applyNumberFormat="1" applyFont="1" applyFill="1" applyBorder="1"/>
    <xf numFmtId="0" fontId="13" fillId="11" borderId="8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3" fillId="2" borderId="0" xfId="3" applyFont="1" applyFill="1" applyBorder="1"/>
    <xf numFmtId="165" fontId="2" fillId="17" borderId="11" xfId="0" applyNumberFormat="1" applyFont="1" applyFill="1" applyBorder="1" applyAlignment="1">
      <alignment horizontal="center"/>
    </xf>
    <xf numFmtId="14" fontId="2" fillId="0" borderId="0" xfId="0" applyNumberFormat="1" applyFont="1" applyFill="1" applyBorder="1"/>
    <xf numFmtId="6" fontId="3" fillId="0" borderId="1" xfId="3" applyNumberFormat="1" applyFont="1" applyFill="1" applyBorder="1"/>
    <xf numFmtId="0" fontId="2" fillId="0" borderId="1" xfId="0" applyFont="1" applyFill="1" applyBorder="1"/>
    <xf numFmtId="165" fontId="2" fillId="17" borderId="11" xfId="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6" fontId="3" fillId="2" borderId="1" xfId="3" applyNumberFormat="1" applyFont="1" applyFill="1" applyBorder="1"/>
    <xf numFmtId="6" fontId="2" fillId="17" borderId="11" xfId="0" applyNumberFormat="1" applyFont="1" applyFill="1" applyBorder="1" applyAlignment="1">
      <alignment horizontal="center"/>
    </xf>
    <xf numFmtId="14" fontId="5" fillId="2" borderId="0" xfId="4" applyNumberFormat="1" applyFont="1" applyFill="1" applyBorder="1"/>
    <xf numFmtId="180" fontId="5" fillId="2" borderId="0" xfId="4" applyNumberFormat="1" applyFont="1" applyFill="1" applyBorder="1"/>
    <xf numFmtId="14" fontId="25" fillId="0" borderId="0" xfId="4" applyNumberFormat="1" applyFont="1" applyBorder="1"/>
    <xf numFmtId="6" fontId="25" fillId="0" borderId="0" xfId="4" applyNumberFormat="1" applyFont="1" applyBorder="1"/>
    <xf numFmtId="6" fontId="25" fillId="0" borderId="0" xfId="4" applyNumberFormat="1" applyFont="1" applyFill="1" applyBorder="1"/>
    <xf numFmtId="12" fontId="25" fillId="0" borderId="0" xfId="4" applyNumberFormat="1" applyFont="1" applyFill="1" applyBorder="1"/>
    <xf numFmtId="6" fontId="3" fillId="0" borderId="0" xfId="0" applyNumberFormat="1" applyFont="1" applyFill="1" applyBorder="1"/>
    <xf numFmtId="6" fontId="3" fillId="2" borderId="0" xfId="0" applyNumberFormat="1" applyFont="1" applyFill="1" applyBorder="1"/>
    <xf numFmtId="14" fontId="26" fillId="0" borderId="0" xfId="4" applyNumberFormat="1" applyFont="1" applyFill="1" applyBorder="1"/>
    <xf numFmtId="0" fontId="26" fillId="0" borderId="0" xfId="0" applyFont="1" applyFill="1" applyBorder="1" applyAlignment="1">
      <alignment horizontal="center"/>
    </xf>
    <xf numFmtId="0" fontId="4" fillId="2" borderId="7" xfId="0" applyFont="1" applyFill="1" applyBorder="1" applyAlignment="1"/>
    <xf numFmtId="178" fontId="2" fillId="0" borderId="0" xfId="0" applyNumberFormat="1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 vertical="center"/>
    </xf>
    <xf numFmtId="164" fontId="3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8" fontId="5" fillId="0" borderId="0" xfId="5" applyNumberFormat="1" applyFont="1" applyFill="1" applyBorder="1"/>
    <xf numFmtId="0" fontId="34" fillId="0" borderId="0" xfId="0" applyFont="1" applyFill="1" applyBorder="1" applyAlignment="1">
      <alignment horizontal="center"/>
    </xf>
    <xf numFmtId="8" fontId="34" fillId="0" borderId="0" xfId="5" applyNumberFormat="1" applyFont="1" applyFill="1" applyBorder="1"/>
    <xf numFmtId="164" fontId="0" fillId="0" borderId="0" xfId="0" applyNumberFormat="1" applyFill="1" applyBorder="1"/>
    <xf numFmtId="0" fontId="3" fillId="2" borderId="19" xfId="0" applyFont="1" applyFill="1" applyBorder="1"/>
    <xf numFmtId="0" fontId="4" fillId="0" borderId="14" xfId="5" applyFont="1" applyBorder="1" applyAlignment="1">
      <alignment vertical="center"/>
    </xf>
    <xf numFmtId="0" fontId="4" fillId="0" borderId="1" xfId="5" applyFont="1" applyBorder="1" applyAlignment="1">
      <alignment vertical="center"/>
    </xf>
    <xf numFmtId="0" fontId="3" fillId="2" borderId="0" xfId="0" applyFont="1" applyFill="1" applyBorder="1" applyAlignment="1"/>
    <xf numFmtId="0" fontId="4" fillId="0" borderId="15" xfId="5" applyFont="1" applyBorder="1" applyAlignment="1">
      <alignment vertical="center"/>
    </xf>
    <xf numFmtId="0" fontId="4" fillId="2" borderId="6" xfId="0" applyFont="1" applyFill="1" applyBorder="1" applyAlignment="1"/>
    <xf numFmtId="14" fontId="25" fillId="0" borderId="21" xfId="4" applyNumberFormat="1" applyFont="1" applyBorder="1"/>
    <xf numFmtId="6" fontId="3" fillId="2" borderId="17" xfId="0" applyNumberFormat="1" applyFont="1" applyFill="1" applyBorder="1"/>
    <xf numFmtId="12" fontId="25" fillId="0" borderId="17" xfId="4" applyNumberFormat="1" applyFont="1" applyBorder="1"/>
    <xf numFmtId="14" fontId="25" fillId="0" borderId="22" xfId="4" applyNumberFormat="1" applyFont="1" applyBorder="1"/>
    <xf numFmtId="164" fontId="3" fillId="2" borderId="23" xfId="0" applyNumberFormat="1" applyFont="1" applyFill="1" applyBorder="1"/>
    <xf numFmtId="0" fontId="3" fillId="2" borderId="23" xfId="0" applyFont="1" applyFill="1" applyBorder="1"/>
    <xf numFmtId="0" fontId="4" fillId="0" borderId="24" xfId="5" applyFont="1" applyBorder="1" applyAlignment="1">
      <alignment horizontal="left" vertical="center"/>
    </xf>
    <xf numFmtId="0" fontId="4" fillId="0" borderId="25" xfId="5" applyFont="1" applyBorder="1" applyAlignment="1">
      <alignment horizontal="left" vertical="center"/>
    </xf>
    <xf numFmtId="0" fontId="4" fillId="0" borderId="26" xfId="5" applyFont="1" applyBorder="1" applyAlignment="1">
      <alignment horizontal="left" vertical="center"/>
    </xf>
    <xf numFmtId="14" fontId="26" fillId="14" borderId="27" xfId="4" applyNumberFormat="1" applyFont="1" applyFill="1" applyBorder="1"/>
    <xf numFmtId="6" fontId="3" fillId="2" borderId="28" xfId="0" applyNumberFormat="1" applyFont="1" applyFill="1" applyBorder="1"/>
    <xf numFmtId="0" fontId="26" fillId="14" borderId="28" xfId="0" applyFont="1" applyFill="1" applyBorder="1" applyAlignment="1">
      <alignment horizontal="center"/>
    </xf>
    <xf numFmtId="8" fontId="26" fillId="14" borderId="29" xfId="5" applyNumberFormat="1" applyFont="1" applyFill="1" applyBorder="1"/>
    <xf numFmtId="14" fontId="25" fillId="0" borderId="24" xfId="4" applyNumberFormat="1" applyFont="1" applyBorder="1"/>
    <xf numFmtId="6" fontId="3" fillId="2" borderId="25" xfId="0" applyNumberFormat="1" applyFont="1" applyFill="1" applyBorder="1"/>
    <xf numFmtId="12" fontId="25" fillId="0" borderId="25" xfId="4" applyNumberFormat="1" applyFont="1" applyBorder="1"/>
    <xf numFmtId="8" fontId="5" fillId="0" borderId="26" xfId="5" applyNumberFormat="1" applyFont="1" applyBorder="1"/>
    <xf numFmtId="14" fontId="3" fillId="0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3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14" fontId="3" fillId="0" borderId="0" xfId="0" applyNumberFormat="1" applyFont="1" applyFill="1" applyBorder="1"/>
    <xf numFmtId="6" fontId="3" fillId="0" borderId="0" xfId="3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6" fontId="4" fillId="15" borderId="11" xfId="0" applyNumberFormat="1" applyFont="1" applyFill="1" applyBorder="1"/>
    <xf numFmtId="6" fontId="36" fillId="15" borderId="10" xfId="0" applyNumberFormat="1" applyFont="1" applyFill="1" applyBorder="1"/>
    <xf numFmtId="14" fontId="5" fillId="2" borderId="24" xfId="4" applyNumberFormat="1" applyFont="1" applyFill="1" applyBorder="1"/>
    <xf numFmtId="6" fontId="25" fillId="0" borderId="25" xfId="4" applyNumberFormat="1" applyFont="1" applyBorder="1"/>
    <xf numFmtId="12" fontId="25" fillId="0" borderId="25" xfId="4" applyNumberFormat="1" applyFont="1" applyFill="1" applyBorder="1"/>
    <xf numFmtId="6" fontId="3" fillId="0" borderId="26" xfId="0" applyNumberFormat="1" applyFont="1" applyFill="1" applyBorder="1"/>
    <xf numFmtId="165" fontId="2" fillId="0" borderId="0" xfId="3" applyFont="1" applyFill="1" applyBorder="1" applyAlignment="1">
      <alignment horizontal="center"/>
    </xf>
    <xf numFmtId="0" fontId="37" fillId="2" borderId="0" xfId="0" applyFont="1" applyFill="1"/>
    <xf numFmtId="0" fontId="4" fillId="2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8" fillId="0" borderId="1" xfId="4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8" fillId="0" borderId="14" xfId="4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15" xfId="4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5" fillId="0" borderId="14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35" fillId="0" borderId="15" xfId="4" applyFont="1" applyBorder="1" applyAlignment="1">
      <alignment horizontal="center" vertical="center" wrapText="1"/>
    </xf>
    <xf numFmtId="0" fontId="28" fillId="0" borderId="15" xfId="4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167" fontId="0" fillId="11" borderId="1" xfId="0" applyNumberFormat="1" applyFill="1" applyBorder="1" applyAlignment="1">
      <alignment horizontal="center"/>
    </xf>
    <xf numFmtId="14" fontId="14" fillId="11" borderId="0" xfId="0" applyNumberFormat="1" applyFont="1" applyFill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13" fillId="11" borderId="8" xfId="0" applyFont="1" applyFill="1" applyBorder="1" applyAlignment="1">
      <alignment horizontal="center"/>
    </xf>
    <xf numFmtId="0" fontId="13" fillId="11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28" fillId="0" borderId="0" xfId="4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5" fillId="0" borderId="0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1" fillId="0" borderId="0" xfId="4" applyAlignment="1">
      <alignment horizontal="center" vertical="center" wrapText="1"/>
    </xf>
    <xf numFmtId="0" fontId="14" fillId="0" borderId="1" xfId="4" applyFont="1" applyBorder="1" applyAlignment="1">
      <alignment horizontal="center"/>
    </xf>
    <xf numFmtId="0" fontId="22" fillId="10" borderId="0" xfId="4" applyFont="1" applyFill="1" applyAlignment="1">
      <alignment horizontal="center" wrapText="1"/>
    </xf>
    <xf numFmtId="0" fontId="23" fillId="3" borderId="0" xfId="4" applyFont="1" applyFill="1" applyAlignment="1">
      <alignment horizontal="justify" vertical="center" wrapText="1"/>
    </xf>
    <xf numFmtId="0" fontId="24" fillId="3" borderId="0" xfId="4" applyFont="1" applyFill="1" applyAlignment="1">
      <alignment horizontal="justify" vertical="center" wrapText="1"/>
    </xf>
    <xf numFmtId="0" fontId="13" fillId="0" borderId="1" xfId="4" applyFont="1" applyBorder="1" applyAlignment="1">
      <alignment horizontal="center"/>
    </xf>
    <xf numFmtId="0" fontId="13" fillId="0" borderId="8" xfId="4" applyFont="1" applyBorder="1" applyAlignment="1">
      <alignment horizontal="center"/>
    </xf>
    <xf numFmtId="0" fontId="13" fillId="0" borderId="9" xfId="4" applyFont="1" applyBorder="1" applyAlignment="1">
      <alignment horizontal="center"/>
    </xf>
  </cellXfs>
  <cellStyles count="23">
    <cellStyle name="Comma [0]" xfId="2" builtinId="6"/>
    <cellStyle name="Currency [0]" xfId="3" builtinId="7"/>
    <cellStyle name="Millares [0] 2" xfId="21" xr:uid="{5B05A159-F00B-4AB4-BE58-E07966ECF975}"/>
    <cellStyle name="Millares 2" xfId="6" xr:uid="{B92CC567-08AE-41D1-83EE-EB4669711536}"/>
    <cellStyle name="Millares 2 2" xfId="15" xr:uid="{04D4A367-F0B2-4B39-BE05-3CBD6A338248}"/>
    <cellStyle name="Millares 3" xfId="19" xr:uid="{39990D6D-D672-4BE8-9211-978072174650}"/>
    <cellStyle name="Millares 4" xfId="18" xr:uid="{5987332C-2B86-4734-BB14-B5B7A5F5DEC4}"/>
    <cellStyle name="Moneda [0] 2" xfId="22" xr:uid="{4E20E6FB-B6AC-4746-8708-6E48D0BB15B4}"/>
    <cellStyle name="Normal" xfId="0" builtinId="0"/>
    <cellStyle name="Normal 2" xfId="4" xr:uid="{0E92B956-1CE4-44B4-AD47-BF0950578157}"/>
    <cellStyle name="Normal 2 2" xfId="12" xr:uid="{EEAC571F-E7F0-4A81-A6EC-8BEAC49EC28F}"/>
    <cellStyle name="Normal 2 3" xfId="10" xr:uid="{C3142AAC-6E98-49F0-966C-B9DD619EF47F}"/>
    <cellStyle name="Normal 3" xfId="5" xr:uid="{702A7B2F-A141-425D-903A-4DDD596E107D}"/>
    <cellStyle name="Normal 3 2" xfId="11" xr:uid="{48E6EA42-EDCA-4C11-A3C4-A5551BAFABB6}"/>
    <cellStyle name="Normal 4" xfId="8" xr:uid="{170A3A0B-1832-4A2E-93C8-53D9ACE61AF9}"/>
    <cellStyle name="Normal 4 2" xfId="16" xr:uid="{97B2A570-4661-47C2-BF63-C7C958ECE86C}"/>
    <cellStyle name="Normal 5" xfId="14" xr:uid="{A53A3015-65D9-48C9-BE05-BF24BD296864}"/>
    <cellStyle name="Normal 6" xfId="9" xr:uid="{5DAB5FD5-CD03-4D7C-BB1D-9782E396F889}"/>
    <cellStyle name="Percent" xfId="1" builtinId="5"/>
    <cellStyle name="Porcentaje 2" xfId="7" xr:uid="{8B10F6A1-BF84-4198-A3D4-EE3853E37BD9}"/>
    <cellStyle name="Porcentaje 2 2" xfId="13" xr:uid="{137F0A96-6F25-43FF-AD34-2DA9EAA31E71}"/>
    <cellStyle name="Porcentaje 3" xfId="17" xr:uid="{E34B281C-7251-4F31-A78D-FEE93EC98D0D}"/>
    <cellStyle name="Porcentaje 4" xfId="20" xr:uid="{BDF6B23A-59F2-4AAF-8146-5CC41BBAEAE5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9" formatCode="&quot;$&quot;\ 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3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2" formatCode="&quot;$&quot;\ #,##0.00;[Red]\-&quot;$&quot;\ 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3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2" formatCode="&quot;$&quot;\ #,##0.00;[Red]\-&quot;$&quot;\ 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3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76300756523094E-2"/>
          <c:y val="0.15118779670858201"/>
          <c:w val="0.92579132314343104"/>
          <c:h val="0.6614561842699889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'X.3. Bonos'!$G$20</c:f>
              <c:strCache>
                <c:ptCount val="1"/>
                <c:pt idx="0">
                  <c:v>V. Presente T1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Bonos'!$G$21:$G$24</c:f>
              <c:numCache>
                <c:formatCode>"$"#,##0.00</c:formatCode>
                <c:ptCount val="4"/>
                <c:pt idx="0">
                  <c:v>6903.6158114000009</c:v>
                </c:pt>
                <c:pt idx="1">
                  <c:v>6537.5108237600007</c:v>
                </c:pt>
                <c:pt idx="2">
                  <c:v>6190.8238893200005</c:v>
                </c:pt>
                <c:pt idx="3">
                  <c:v>5862.5236462800003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4-465D-8896-8C3E1539D65F}"/>
            </c:ext>
          </c:extLst>
        </c:ser>
        <c:ser>
          <c:idx val="4"/>
          <c:order val="1"/>
          <c:tx>
            <c:strRef>
              <c:f>'X.3. Bonos'!$E$20</c:f>
              <c:strCache>
                <c:ptCount val="1"/>
                <c:pt idx="0">
                  <c:v>V. Flujo T1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Bonos'!$E$21:$E$24</c:f>
              <c:numCache>
                <c:formatCode>"$"#,##0</c:formatCode>
                <c:ptCount val="4"/>
                <c:pt idx="0">
                  <c:v>7112.8400000000011</c:v>
                </c:pt>
                <c:pt idx="1">
                  <c:v>7112.8400000000011</c:v>
                </c:pt>
                <c:pt idx="2">
                  <c:v>7112.8400000000011</c:v>
                </c:pt>
                <c:pt idx="3">
                  <c:v>7112.8400000000011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4-465D-8896-8C3E1539D65F}"/>
            </c:ext>
          </c:extLst>
        </c:ser>
        <c:ser>
          <c:idx val="1"/>
          <c:order val="2"/>
          <c:tx>
            <c:strRef>
              <c:f>'X.3. Bonos'!$O$20</c:f>
              <c:strCache>
                <c:ptCount val="1"/>
                <c:pt idx="0">
                  <c:v>V. Presente T2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Bonos'!$O$21:$O$24</c:f>
              <c:numCache>
                <c:formatCode>"$"#,##0.00</c:formatCode>
                <c:ptCount val="4"/>
                <c:pt idx="0">
                  <c:v>5362.8376074984608</c:v>
                </c:pt>
                <c:pt idx="1">
                  <c:v>5079.4079263303802</c:v>
                </c:pt>
                <c:pt idx="2">
                  <c:v>4810.95481153536</c:v>
                </c:pt>
                <c:pt idx="3">
                  <c:v>4556.6924032697398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4-465D-8896-8C3E1539D65F}"/>
            </c:ext>
          </c:extLst>
        </c:ser>
        <c:ser>
          <c:idx val="0"/>
          <c:order val="3"/>
          <c:tx>
            <c:strRef>
              <c:f>'X.3. Bonos'!$M$20</c:f>
              <c:strCache>
                <c:ptCount val="1"/>
                <c:pt idx="0">
                  <c:v>V. Flujo T2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Bonos'!$M$21:$M$24</c:f>
              <c:numCache>
                <c:formatCode>"$"#,##0</c:formatCode>
                <c:ptCount val="4"/>
                <c:pt idx="0">
                  <c:v>5653.6679400000003</c:v>
                </c:pt>
                <c:pt idx="1">
                  <c:v>5653.6679400000003</c:v>
                </c:pt>
                <c:pt idx="2">
                  <c:v>5653.6679400000003</c:v>
                </c:pt>
                <c:pt idx="3">
                  <c:v>5653.6679400000003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E4-465D-8896-8C3E1539D65F}"/>
            </c:ext>
          </c:extLst>
        </c:ser>
        <c:ser>
          <c:idx val="2"/>
          <c:order val="4"/>
          <c:tx>
            <c:strRef>
              <c:f>'X.3. Bonos'!$W$20</c:f>
              <c:strCache>
                <c:ptCount val="1"/>
                <c:pt idx="0">
                  <c:v>V. Presente T3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Bonos'!$W$21:$W$36</c:f>
              <c:numCache>
                <c:formatCode>"$"#,##0.00</c:formatCode>
                <c:ptCount val="16"/>
                <c:pt idx="0">
                  <c:v>61554.6875</c:v>
                </c:pt>
                <c:pt idx="1">
                  <c:v>57824.9375</c:v>
                </c:pt>
                <c:pt idx="2">
                  <c:v>54321.25</c:v>
                </c:pt>
                <c:pt idx="3">
                  <c:v>51029.8125</c:v>
                </c:pt>
                <c:pt idx="4">
                  <c:v>47937.8125</c:v>
                </c:pt>
                <c:pt idx="5">
                  <c:v>45033.1875</c:v>
                </c:pt>
                <c:pt idx="6">
                  <c:v>719177.5625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4-465D-8896-8C3E1539D65F}"/>
            </c:ext>
          </c:extLst>
        </c:ser>
        <c:ser>
          <c:idx val="3"/>
          <c:order val="5"/>
          <c:tx>
            <c:strRef>
              <c:f>'X.3. Bonos'!$U$20</c:f>
              <c:strCache>
                <c:ptCount val="1"/>
                <c:pt idx="0">
                  <c:v>V. Flujo T3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'X.3. Bonos'!$Q$21:$Q$36</c:f>
              <c:strCache>
                <c:ptCount val="7"/>
                <c:pt idx="0">
                  <c:v>10-feb-2019</c:v>
                </c:pt>
                <c:pt idx="1">
                  <c:v>10-feb-2020</c:v>
                </c:pt>
                <c:pt idx="2">
                  <c:v>10-feb-2021</c:v>
                </c:pt>
                <c:pt idx="3">
                  <c:v>10-feb-2022</c:v>
                </c:pt>
                <c:pt idx="4">
                  <c:v>10-feb-2023</c:v>
                </c:pt>
                <c:pt idx="5">
                  <c:v>10-feb-2024</c:v>
                </c:pt>
                <c:pt idx="6">
                  <c:v>10-feb-2025</c:v>
                </c:pt>
              </c:strCache>
            </c:strRef>
          </c:cat>
          <c:val>
            <c:numRef>
              <c:f>'X.3. Bonos'!$U$21:$U$36</c:f>
              <c:numCache>
                <c:formatCode>"$"#,##0</c:formatCode>
                <c:ptCount val="16"/>
                <c:pt idx="0">
                  <c:v>62500</c:v>
                </c:pt>
                <c:pt idx="1">
                  <c:v>62500</c:v>
                </c:pt>
                <c:pt idx="2">
                  <c:v>62500</c:v>
                </c:pt>
                <c:pt idx="3">
                  <c:v>62500</c:v>
                </c:pt>
                <c:pt idx="4">
                  <c:v>62500</c:v>
                </c:pt>
                <c:pt idx="5">
                  <c:v>62500</c:v>
                </c:pt>
                <c:pt idx="6">
                  <c:v>1062500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E4-465D-8896-8C3E1539D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30"/>
        <c:axId val="769032928"/>
        <c:axId val="769034704"/>
      </c:barChart>
      <c:dateAx>
        <c:axId val="769032928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34704"/>
        <c:crosses val="autoZero"/>
        <c:auto val="0"/>
        <c:lblOffset val="100"/>
        <c:baseTimeUnit val="years"/>
      </c:dateAx>
      <c:valAx>
        <c:axId val="76903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0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43395077048"/>
          <c:y val="3.90204742204627E-3"/>
          <c:w val="0.71573765313719795"/>
          <c:h val="0.14808652525236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971550</xdr:colOff>
      <xdr:row>6</xdr:row>
      <xdr:rowOff>96872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D25EF-F83A-4BD3-8D31-F1216EEB3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971550" cy="858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0</xdr:rowOff>
    </xdr:from>
    <xdr:to>
      <xdr:col>1</xdr:col>
      <xdr:colOff>1314451</xdr:colOff>
      <xdr:row>7</xdr:row>
      <xdr:rowOff>2163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BDA331-6B42-4D00-83FA-0C54D059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1" y="190500"/>
          <a:ext cx="1295400" cy="1145163"/>
        </a:xfrm>
        <a:prstGeom prst="rect">
          <a:avLst/>
        </a:prstGeom>
      </xdr:spPr>
    </xdr:pic>
    <xdr:clientData/>
  </xdr:twoCellAnchor>
  <xdr:twoCellAnchor>
    <xdr:from>
      <xdr:col>11</xdr:col>
      <xdr:colOff>171450</xdr:colOff>
      <xdr:row>19</xdr:row>
      <xdr:rowOff>76200</xdr:rowOff>
    </xdr:from>
    <xdr:to>
      <xdr:col>11</xdr:col>
      <xdr:colOff>217169</xdr:colOff>
      <xdr:row>19</xdr:row>
      <xdr:rowOff>121919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377F3C2-23F8-4F5C-AB48-69D4DBB4FE03}"/>
            </a:ext>
          </a:extLst>
        </xdr:cNvPr>
        <xdr:cNvSpPr/>
      </xdr:nvSpPr>
      <xdr:spPr>
        <a:xfrm>
          <a:off x="12515850" y="370522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171450</xdr:colOff>
      <xdr:row>19</xdr:row>
      <xdr:rowOff>171450</xdr:rowOff>
    </xdr:from>
    <xdr:to>
      <xdr:col>11</xdr:col>
      <xdr:colOff>217169</xdr:colOff>
      <xdr:row>20</xdr:row>
      <xdr:rowOff>26669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64280E7-45BD-4AB1-97E1-734597190251}"/>
            </a:ext>
          </a:extLst>
        </xdr:cNvPr>
        <xdr:cNvSpPr/>
      </xdr:nvSpPr>
      <xdr:spPr>
        <a:xfrm>
          <a:off x="12515850" y="380047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171450</xdr:colOff>
      <xdr:row>20</xdr:row>
      <xdr:rowOff>85725</xdr:rowOff>
    </xdr:from>
    <xdr:to>
      <xdr:col>11</xdr:col>
      <xdr:colOff>217169</xdr:colOff>
      <xdr:row>20</xdr:row>
      <xdr:rowOff>131444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2E284D0-21A6-47E0-9006-984953EC99AE}"/>
            </a:ext>
          </a:extLst>
        </xdr:cNvPr>
        <xdr:cNvSpPr/>
      </xdr:nvSpPr>
      <xdr:spPr>
        <a:xfrm>
          <a:off x="12515850" y="3905250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180975</xdr:colOff>
      <xdr:row>25</xdr:row>
      <xdr:rowOff>9525</xdr:rowOff>
    </xdr:from>
    <xdr:to>
      <xdr:col>11</xdr:col>
      <xdr:colOff>226694</xdr:colOff>
      <xdr:row>25</xdr:row>
      <xdr:rowOff>55244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E569565A-0E19-4A64-A9B8-C396B01AE4CC}"/>
            </a:ext>
          </a:extLst>
        </xdr:cNvPr>
        <xdr:cNvSpPr/>
      </xdr:nvSpPr>
      <xdr:spPr>
        <a:xfrm>
          <a:off x="12525375" y="482917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180975</xdr:colOff>
      <xdr:row>25</xdr:row>
      <xdr:rowOff>104775</xdr:rowOff>
    </xdr:from>
    <xdr:to>
      <xdr:col>11</xdr:col>
      <xdr:colOff>226694</xdr:colOff>
      <xdr:row>25</xdr:row>
      <xdr:rowOff>150494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3BE199B-938E-4B0C-BD5E-4501803882D3}"/>
            </a:ext>
          </a:extLst>
        </xdr:cNvPr>
        <xdr:cNvSpPr/>
      </xdr:nvSpPr>
      <xdr:spPr>
        <a:xfrm>
          <a:off x="12525375" y="4924425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180975</xdr:colOff>
      <xdr:row>26</xdr:row>
      <xdr:rowOff>9525</xdr:rowOff>
    </xdr:from>
    <xdr:to>
      <xdr:col>11</xdr:col>
      <xdr:colOff>226694</xdr:colOff>
      <xdr:row>26</xdr:row>
      <xdr:rowOff>55244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C6D00D1-81CE-4760-8B4D-9B74AEDEF890}"/>
            </a:ext>
          </a:extLst>
        </xdr:cNvPr>
        <xdr:cNvSpPr/>
      </xdr:nvSpPr>
      <xdr:spPr>
        <a:xfrm>
          <a:off x="12525375" y="5029200"/>
          <a:ext cx="45719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396875</xdr:colOff>
      <xdr:row>2</xdr:row>
      <xdr:rowOff>31749</xdr:rowOff>
    </xdr:from>
    <xdr:to>
      <xdr:col>20</xdr:col>
      <xdr:colOff>89647</xdr:colOff>
      <xdr:row>16</xdr:row>
      <xdr:rowOff>100852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881F03-AF7A-4BEA-923C-4696DD142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95250</xdr:rowOff>
    </xdr:from>
    <xdr:to>
      <xdr:col>1</xdr:col>
      <xdr:colOff>1419225</xdr:colOff>
      <xdr:row>7</xdr:row>
      <xdr:rowOff>97413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4D1DD4-5F28-44AE-91DD-70D8D967A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85750"/>
          <a:ext cx="1295400" cy="1145163"/>
        </a:xfrm>
        <a:prstGeom prst="rect">
          <a:avLst/>
        </a:prstGeom>
      </xdr:spPr>
    </xdr:pic>
    <xdr:clientData/>
  </xdr:twoCellAnchor>
  <xdr:twoCellAnchor editAs="oneCell">
    <xdr:from>
      <xdr:col>0</xdr:col>
      <xdr:colOff>214314</xdr:colOff>
      <xdr:row>29</xdr:row>
      <xdr:rowOff>211932</xdr:rowOff>
    </xdr:from>
    <xdr:to>
      <xdr:col>3</xdr:col>
      <xdr:colOff>571501</xdr:colOff>
      <xdr:row>36</xdr:row>
      <xdr:rowOff>88038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EC3CBD-1AD4-424C-AFAD-B81B75176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4" y="5938838"/>
          <a:ext cx="4202906" cy="13405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37</xdr:row>
      <xdr:rowOff>140494</xdr:rowOff>
    </xdr:from>
    <xdr:to>
      <xdr:col>3</xdr:col>
      <xdr:colOff>605787</xdr:colOff>
      <xdr:row>41</xdr:row>
      <xdr:rowOff>130968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F55139-B862-44BA-BB82-EF4EDCFB4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6" y="7534275"/>
          <a:ext cx="4270530" cy="847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95250</xdr:rowOff>
    </xdr:from>
    <xdr:to>
      <xdr:col>1</xdr:col>
      <xdr:colOff>1419225</xdr:colOff>
      <xdr:row>7</xdr:row>
      <xdr:rowOff>97413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A2C1A4-F016-48FB-9B6F-DC1092DC7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85750"/>
          <a:ext cx="1295400" cy="114516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27</xdr:row>
      <xdr:rowOff>209550</xdr:rowOff>
    </xdr:from>
    <xdr:to>
      <xdr:col>3</xdr:col>
      <xdr:colOff>619126</xdr:colOff>
      <xdr:row>34</xdr:row>
      <xdr:rowOff>61844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637FC7-9BE3-4F1E-82FE-364FAF16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5495925"/>
          <a:ext cx="4210050" cy="133819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34</xdr:row>
      <xdr:rowOff>152400</xdr:rowOff>
    </xdr:from>
    <xdr:to>
      <xdr:col>3</xdr:col>
      <xdr:colOff>605787</xdr:colOff>
      <xdr:row>38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36A311-75AF-4DF9-9856-BF5456B48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976" y="6924675"/>
          <a:ext cx="4282436" cy="838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95250</xdr:rowOff>
    </xdr:from>
    <xdr:to>
      <xdr:col>1</xdr:col>
      <xdr:colOff>1419225</xdr:colOff>
      <xdr:row>7</xdr:row>
      <xdr:rowOff>97413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1D789-9491-4614-8C6A-4A0887CCB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85750"/>
          <a:ext cx="1295400" cy="1145163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27</xdr:row>
      <xdr:rowOff>119062</xdr:rowOff>
    </xdr:from>
    <xdr:to>
      <xdr:col>3</xdr:col>
      <xdr:colOff>750286</xdr:colOff>
      <xdr:row>38</xdr:row>
      <xdr:rowOff>71435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EDE3F1-228C-4F13-A5FD-EC29B8249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4" y="5441156"/>
          <a:ext cx="4262631" cy="22621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930EF6-961F-4B74-82FC-9C7DC85A1407}" name="Tabla1" displayName="Tabla1" ref="U96:W99" totalsRowShown="0" headerRowDxfId="15" dataDxfId="14">
  <autoFilter ref="U96:W99" xr:uid="{00000000-0009-0000-0100-000001000000}">
    <filterColumn colId="0" hiddenButton="1"/>
    <filterColumn colId="1" hiddenButton="1"/>
    <filterColumn colId="2" hiddenButton="1"/>
  </autoFilter>
  <tableColumns count="3">
    <tableColumn id="1" xr3:uid="{02A01032-5623-4630-B368-13E8068FAC11}" name="Título" dataDxfId="13"/>
    <tableColumn id="2" xr3:uid="{D0D1F754-03EE-410A-89C7-9F6345F88B8D}" name="Tasa" dataDxfId="12"/>
    <tableColumn id="3" xr3:uid="{692D7CAA-2CA6-406C-AA37-D8340FA1C87C}" name="Valoración" dataDxfId="1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6DF59D-291D-460F-8D28-40ED9C8D9234}" name="Tabla13" displayName="Tabla13" ref="U167:W170" totalsRowShown="0" headerRowDxfId="10" dataDxfId="9">
  <autoFilter ref="U167:W170" xr:uid="{00000000-0009-0000-0100-000002000000}">
    <filterColumn colId="0" hiddenButton="1"/>
    <filterColumn colId="1" hiddenButton="1"/>
    <filterColumn colId="2" hiddenButton="1"/>
  </autoFilter>
  <tableColumns count="3">
    <tableColumn id="1" xr3:uid="{6F838CE2-723A-4E13-8713-E70D07EFB12C}" name="Título a 2021" dataDxfId="8"/>
    <tableColumn id="2" xr3:uid="{9E483E4C-DD60-4C5A-9DBA-2E90E947D287}" name="Tasa" dataDxfId="7"/>
    <tableColumn id="3" xr3:uid="{8CA2A540-B73E-4BE4-A258-1FC6E052BA41}" name="Valoración" dataDxfId="6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2F656E-AB2F-428B-BD23-2A74C6C7FB97}" name="Tabla4" displayName="Tabla4" ref="U173:W176" totalsRowShown="0" headerRowDxfId="5" dataDxfId="4">
  <autoFilter ref="U173:W176" xr:uid="{00000000-0009-0000-0100-000004000000}">
    <filterColumn colId="0" hiddenButton="1"/>
    <filterColumn colId="1" hiddenButton="1"/>
    <filterColumn colId="2" hiddenButton="1"/>
  </autoFilter>
  <tableColumns count="3">
    <tableColumn id="1" xr3:uid="{0F8EABCB-E925-421D-8D2E-A1E0D868A84D}" name="Título a 2020" dataDxfId="3"/>
    <tableColumn id="2" xr3:uid="{7EDFDBAE-53CE-451F-B0FC-39E53747103C}" name="Tasa" dataDxfId="2"/>
    <tableColumn id="3" xr3:uid="{03DAFB85-09CD-4428-9E84-E55CE2238F73}" name="Valoración" dataDxfId="1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6BC1E1-89A8-4115-9319-6F3893E2408A}" name="Tabla5" displayName="Tabla5" ref="X171:Z174" totalsRowShown="0" headerRowDxfId="0">
  <autoFilter ref="X171:Z174" xr:uid="{00000000-0009-0000-0100-000005000000}">
    <filterColumn colId="0" hiddenButton="1"/>
    <filterColumn colId="1" hiddenButton="1"/>
    <filterColumn colId="2" hiddenButton="1"/>
  </autoFilter>
  <tableColumns count="3">
    <tableColumn id="1" xr3:uid="{56DED4F7-6A86-4D36-A707-8D2F87D62D24}" name="Tasa"/>
    <tableColumn id="2" xr3:uid="{FFB9C021-6830-48D9-9F0D-2BED15BE3311}" name="2021"/>
    <tableColumn id="3" xr3:uid="{C2C9729A-B85F-4CD8-A5CB-906D41BD8F00}" name="202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00C5-1359-45D8-8A45-5FF35A06DA57}">
  <dimension ref="B8:L46"/>
  <sheetViews>
    <sheetView tabSelected="1" workbookViewId="0">
      <selection activeCell="D4" sqref="D4"/>
    </sheetView>
  </sheetViews>
  <sheetFormatPr defaultColWidth="11.42578125" defaultRowHeight="15" x14ac:dyDescent="0.25"/>
  <cols>
    <col min="1" max="1" width="11.42578125" style="1"/>
    <col min="2" max="2" width="32.42578125" style="1" customWidth="1"/>
    <col min="3" max="3" width="12.42578125" style="1" bestFit="1" customWidth="1"/>
    <col min="4" max="7" width="11.42578125" style="1"/>
    <col min="8" max="8" width="26.42578125" style="1" bestFit="1" customWidth="1"/>
    <col min="9" max="9" width="17.85546875" style="1" bestFit="1" customWidth="1"/>
    <col min="10" max="16384" width="11.42578125" style="1"/>
  </cols>
  <sheetData>
    <row r="8" spans="2:3" x14ac:dyDescent="0.25">
      <c r="B8" s="4" t="s">
        <v>7</v>
      </c>
      <c r="C8" s="2"/>
    </row>
    <row r="9" spans="2:3" x14ac:dyDescent="0.25">
      <c r="B9" s="2" t="s">
        <v>6</v>
      </c>
      <c r="C9" s="2"/>
    </row>
    <row r="10" spans="2:3" x14ac:dyDescent="0.25">
      <c r="B10" s="2" t="s">
        <v>8</v>
      </c>
      <c r="C10" s="2"/>
    </row>
    <row r="11" spans="2:3" x14ac:dyDescent="0.25">
      <c r="B11" s="2" t="s">
        <v>9</v>
      </c>
      <c r="C11" s="2"/>
    </row>
    <row r="12" spans="2:3" x14ac:dyDescent="0.25">
      <c r="B12" s="2" t="s">
        <v>10</v>
      </c>
      <c r="C12" s="2"/>
    </row>
    <row r="13" spans="2:3" x14ac:dyDescent="0.25">
      <c r="B13" s="2"/>
      <c r="C13" s="2"/>
    </row>
    <row r="14" spans="2:3" x14ac:dyDescent="0.25">
      <c r="B14" s="2" t="s">
        <v>0</v>
      </c>
      <c r="C14" s="5">
        <v>173613574</v>
      </c>
    </row>
    <row r="15" spans="2:3" x14ac:dyDescent="0.25">
      <c r="B15" s="2" t="s">
        <v>1</v>
      </c>
      <c r="C15" s="5">
        <f>+C14*0.4</f>
        <v>69445429.600000009</v>
      </c>
    </row>
    <row r="17" spans="2:12" x14ac:dyDescent="0.25">
      <c r="B17" s="6" t="s">
        <v>108</v>
      </c>
      <c r="C17" s="6" t="s">
        <v>3</v>
      </c>
      <c r="D17" s="2"/>
      <c r="E17" s="2"/>
      <c r="F17" s="2"/>
      <c r="G17" s="2"/>
      <c r="H17" s="2"/>
      <c r="I17" s="2"/>
      <c r="J17" s="2"/>
    </row>
    <row r="18" spans="2:12" x14ac:dyDescent="0.25">
      <c r="B18" s="6" t="s">
        <v>4</v>
      </c>
      <c r="C18" s="7">
        <v>5.2499999999999998E-2</v>
      </c>
      <c r="D18" s="2"/>
      <c r="E18" s="2"/>
      <c r="F18" s="2"/>
      <c r="G18" s="2"/>
      <c r="H18" s="2"/>
      <c r="I18" s="2"/>
      <c r="J18" s="2"/>
    </row>
    <row r="19" spans="2:12" x14ac:dyDescent="0.25">
      <c r="B19" s="6" t="s">
        <v>1</v>
      </c>
      <c r="C19" s="8">
        <f>+C15</f>
        <v>69445429.600000009</v>
      </c>
      <c r="D19" s="2"/>
      <c r="E19" s="2"/>
      <c r="F19" s="2"/>
      <c r="G19" s="2"/>
      <c r="H19" s="2"/>
      <c r="I19" s="2"/>
      <c r="J19" s="2"/>
    </row>
    <row r="20" spans="2:12" x14ac:dyDescent="0.25">
      <c r="B20" s="6" t="s">
        <v>5</v>
      </c>
      <c r="C20" s="9">
        <f>((1+5.25%)^(1/12))-1</f>
        <v>4.2731277661580691E-3</v>
      </c>
      <c r="D20" s="2"/>
      <c r="E20" s="2"/>
      <c r="F20" s="2"/>
      <c r="G20" s="2"/>
      <c r="H20" s="2"/>
      <c r="I20" s="2"/>
      <c r="J20" s="2"/>
    </row>
    <row r="21" spans="2:12" x14ac:dyDescent="0.25">
      <c r="B21" s="6" t="s">
        <v>225</v>
      </c>
      <c r="C21" s="8">
        <f>+C14-C15</f>
        <v>104168144.39999999</v>
      </c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25">
      <c r="B22" s="11"/>
      <c r="C22" s="11"/>
      <c r="D22" s="11"/>
      <c r="E22" s="11"/>
      <c r="F22" s="11"/>
      <c r="G22" s="2"/>
      <c r="H22" s="11"/>
      <c r="I22" s="11"/>
      <c r="J22" s="11"/>
      <c r="K22" s="11"/>
      <c r="L22" s="11"/>
    </row>
    <row r="23" spans="2:12" x14ac:dyDescent="0.25">
      <c r="B23" s="12" t="s">
        <v>112</v>
      </c>
      <c r="C23" s="5"/>
      <c r="D23" s="5"/>
      <c r="E23" s="5"/>
      <c r="F23" s="5"/>
      <c r="G23" s="2"/>
      <c r="H23" s="2"/>
      <c r="I23" s="5"/>
      <c r="J23" s="5"/>
      <c r="K23" s="5"/>
      <c r="L23" s="5"/>
    </row>
    <row r="24" spans="2:12" x14ac:dyDescent="0.25">
      <c r="B24" s="2"/>
      <c r="C24" s="5"/>
      <c r="D24" s="5"/>
      <c r="E24" s="5"/>
      <c r="F24" s="5"/>
      <c r="G24" s="2"/>
      <c r="H24" s="2"/>
      <c r="I24" s="5"/>
      <c r="J24" s="5"/>
      <c r="K24" s="5"/>
      <c r="L24" s="5"/>
    </row>
    <row r="25" spans="2:12" x14ac:dyDescent="0.25">
      <c r="B25" s="2"/>
      <c r="C25" s="5"/>
      <c r="D25" s="5"/>
      <c r="E25" s="5"/>
      <c r="F25" s="5"/>
      <c r="G25" s="2"/>
      <c r="H25" s="2"/>
      <c r="I25" s="5"/>
      <c r="J25" s="5"/>
      <c r="K25" s="5"/>
      <c r="L25" s="5"/>
    </row>
    <row r="26" spans="2:12" x14ac:dyDescent="0.25">
      <c r="B26" s="2"/>
      <c r="C26" s="5"/>
      <c r="D26" s="5"/>
      <c r="E26" s="5"/>
      <c r="F26" s="5"/>
      <c r="G26" s="2"/>
      <c r="H26" s="2"/>
      <c r="I26" s="5"/>
      <c r="J26" s="5"/>
      <c r="K26" s="5"/>
      <c r="L26" s="5"/>
    </row>
    <row r="27" spans="2:12" x14ac:dyDescent="0.25">
      <c r="B27" s="2"/>
      <c r="C27" s="5"/>
      <c r="D27" s="5"/>
      <c r="E27" s="5"/>
      <c r="F27" s="5"/>
      <c r="G27" s="2"/>
      <c r="H27" s="2"/>
      <c r="I27" s="5"/>
      <c r="J27" s="5"/>
      <c r="K27" s="5"/>
      <c r="L27" s="5"/>
    </row>
    <row r="28" spans="2:12" x14ac:dyDescent="0.25">
      <c r="B28" s="2"/>
      <c r="C28" s="5"/>
      <c r="D28" s="5"/>
      <c r="E28" s="5"/>
      <c r="F28" s="5"/>
      <c r="G28" s="2"/>
      <c r="H28" s="2"/>
      <c r="I28" s="5"/>
      <c r="J28" s="5"/>
      <c r="K28" s="5"/>
      <c r="L28" s="5"/>
    </row>
    <row r="29" spans="2:12" x14ac:dyDescent="0.25">
      <c r="B29" s="2"/>
      <c r="C29" s="5"/>
      <c r="D29" s="5"/>
      <c r="E29" s="5"/>
      <c r="F29" s="5"/>
      <c r="G29" s="2"/>
      <c r="H29" s="2"/>
      <c r="I29" s="5"/>
      <c r="J29" s="5"/>
      <c r="K29" s="5"/>
      <c r="L29" s="5"/>
    </row>
    <row r="30" spans="2:12" x14ac:dyDescent="0.25">
      <c r="B30" s="2"/>
      <c r="C30" s="5"/>
      <c r="D30" s="5"/>
      <c r="E30" s="5"/>
      <c r="F30" s="5"/>
      <c r="G30" s="2"/>
      <c r="H30" s="2"/>
      <c r="I30" s="5"/>
      <c r="J30" s="5"/>
      <c r="K30" s="5"/>
      <c r="L30" s="5"/>
    </row>
    <row r="31" spans="2:12" x14ac:dyDescent="0.25">
      <c r="B31" s="2"/>
      <c r="C31" s="5"/>
      <c r="D31" s="5"/>
      <c r="E31" s="5"/>
      <c r="F31" s="5"/>
      <c r="G31" s="2"/>
      <c r="H31" s="2"/>
      <c r="I31" s="5"/>
      <c r="J31" s="5"/>
      <c r="K31" s="5"/>
      <c r="L31" s="5"/>
    </row>
    <row r="32" spans="2:12" x14ac:dyDescent="0.25">
      <c r="B32" s="2"/>
      <c r="C32" s="5"/>
      <c r="D32" s="5"/>
      <c r="E32" s="5"/>
      <c r="F32" s="5"/>
      <c r="G32" s="2"/>
      <c r="H32" s="2"/>
      <c r="I32" s="5"/>
      <c r="J32" s="5"/>
      <c r="K32" s="5"/>
      <c r="L32" s="5"/>
    </row>
    <row r="33" spans="2:12" x14ac:dyDescent="0.25">
      <c r="B33" s="2"/>
      <c r="C33" s="5"/>
      <c r="D33" s="5"/>
      <c r="E33" s="5"/>
      <c r="F33" s="5"/>
      <c r="G33" s="2"/>
      <c r="H33" s="2"/>
      <c r="I33" s="5"/>
      <c r="J33" s="5"/>
      <c r="K33" s="5"/>
      <c r="L33" s="5"/>
    </row>
    <row r="34" spans="2:12" x14ac:dyDescent="0.25">
      <c r="B34" s="2"/>
      <c r="C34" s="5"/>
      <c r="D34" s="5"/>
      <c r="E34" s="5"/>
      <c r="F34" s="5"/>
      <c r="G34" s="2"/>
      <c r="H34" s="2"/>
      <c r="I34" s="5"/>
      <c r="J34" s="5"/>
      <c r="K34" s="5"/>
      <c r="L34" s="5"/>
    </row>
    <row r="35" spans="2:12" x14ac:dyDescent="0.25">
      <c r="B35" s="2"/>
      <c r="C35" s="5"/>
      <c r="D35" s="5"/>
      <c r="E35" s="5"/>
      <c r="F35" s="5"/>
      <c r="G35" s="2"/>
      <c r="H35" s="2"/>
      <c r="I35" s="5"/>
      <c r="J35" s="5"/>
      <c r="K35" s="5"/>
      <c r="L35" s="5"/>
    </row>
    <row r="36" spans="2:12" x14ac:dyDescent="0.25">
      <c r="B36" s="2"/>
      <c r="C36" s="5"/>
      <c r="D36" s="5"/>
      <c r="E36" s="5"/>
      <c r="F36" s="5"/>
      <c r="G36" s="2"/>
      <c r="H36" s="2"/>
      <c r="I36" s="5"/>
      <c r="J36" s="5"/>
      <c r="K36" s="5"/>
      <c r="L36" s="5"/>
    </row>
    <row r="37" spans="2:12" x14ac:dyDescent="0.25">
      <c r="B37" s="2"/>
      <c r="C37" s="5"/>
      <c r="D37" s="5"/>
      <c r="E37" s="5"/>
      <c r="F37" s="5"/>
      <c r="G37" s="2"/>
      <c r="H37" s="2"/>
      <c r="I37" s="5"/>
      <c r="J37" s="5"/>
      <c r="K37" s="5"/>
      <c r="L37" s="5"/>
    </row>
    <row r="38" spans="2:12" x14ac:dyDescent="0.25">
      <c r="B38" s="2"/>
      <c r="C38" s="5"/>
      <c r="D38" s="5"/>
      <c r="E38" s="5"/>
      <c r="F38" s="5"/>
      <c r="G38" s="2"/>
      <c r="H38" s="2"/>
      <c r="I38" s="5"/>
      <c r="J38" s="5"/>
      <c r="K38" s="5"/>
      <c r="L38" s="5"/>
    </row>
    <row r="39" spans="2:12" x14ac:dyDescent="0.25">
      <c r="B39" s="2"/>
      <c r="C39" s="5"/>
      <c r="D39" s="5"/>
      <c r="E39" s="5"/>
      <c r="F39" s="5"/>
      <c r="G39" s="2"/>
      <c r="H39" s="2"/>
      <c r="I39" s="5"/>
      <c r="J39" s="5"/>
      <c r="K39" s="5"/>
      <c r="L39" s="5"/>
    </row>
    <row r="40" spans="2:12" x14ac:dyDescent="0.25">
      <c r="B40" s="2"/>
      <c r="C40" s="5"/>
      <c r="D40" s="5"/>
      <c r="E40" s="5"/>
      <c r="F40" s="5"/>
      <c r="G40" s="2"/>
      <c r="H40" s="2"/>
      <c r="I40" s="5"/>
      <c r="J40" s="5"/>
      <c r="K40" s="5"/>
      <c r="L40" s="5"/>
    </row>
    <row r="41" spans="2:12" x14ac:dyDescent="0.25">
      <c r="B41" s="2"/>
      <c r="C41" s="5"/>
      <c r="D41" s="5"/>
      <c r="E41" s="5"/>
      <c r="F41" s="5"/>
      <c r="G41" s="2"/>
      <c r="H41" s="2"/>
      <c r="I41" s="5"/>
      <c r="J41" s="5"/>
      <c r="K41" s="5"/>
      <c r="L41" s="5"/>
    </row>
    <row r="42" spans="2:12" x14ac:dyDescent="0.25">
      <c r="B42" s="2"/>
      <c r="C42" s="5"/>
      <c r="D42" s="5"/>
      <c r="E42" s="5"/>
      <c r="F42" s="5"/>
      <c r="G42" s="2"/>
      <c r="H42" s="2"/>
      <c r="I42" s="5"/>
      <c r="J42" s="5"/>
      <c r="K42" s="5"/>
      <c r="L42" s="5"/>
    </row>
    <row r="43" spans="2:12" x14ac:dyDescent="0.25">
      <c r="B43" s="2"/>
      <c r="C43" s="5"/>
      <c r="D43" s="5"/>
      <c r="E43" s="5"/>
      <c r="F43" s="5"/>
      <c r="G43" s="2"/>
      <c r="H43" s="2"/>
      <c r="I43" s="5"/>
      <c r="J43" s="5"/>
      <c r="K43" s="5"/>
      <c r="L43" s="5"/>
    </row>
    <row r="44" spans="2:12" x14ac:dyDescent="0.25">
      <c r="B44" s="2"/>
      <c r="C44" s="5"/>
      <c r="D44" s="5"/>
      <c r="E44" s="5"/>
      <c r="F44" s="5"/>
      <c r="G44" s="2"/>
      <c r="H44" s="2"/>
      <c r="I44" s="5"/>
      <c r="J44" s="5"/>
      <c r="K44" s="5"/>
      <c r="L44" s="5"/>
    </row>
    <row r="45" spans="2:12" x14ac:dyDescent="0.25">
      <c r="B45" s="2"/>
      <c r="C45" s="5"/>
      <c r="D45" s="5"/>
      <c r="E45" s="5"/>
      <c r="F45" s="5"/>
      <c r="G45" s="2"/>
      <c r="H45" s="2"/>
      <c r="I45" s="5"/>
      <c r="J45" s="5"/>
      <c r="K45" s="5"/>
      <c r="L45" s="5"/>
    </row>
    <row r="46" spans="2:12" x14ac:dyDescent="0.25">
      <c r="B46" s="2"/>
      <c r="C46" s="5"/>
      <c r="D46" s="5"/>
      <c r="E46" s="5"/>
      <c r="F46" s="5"/>
      <c r="G46" s="2"/>
      <c r="H46" s="2"/>
      <c r="I46" s="5"/>
      <c r="J46" s="5"/>
      <c r="K46" s="5"/>
      <c r="L46" s="5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3A6D-921A-4896-BA72-A6065D26E10F}">
  <dimension ref="B8:P48"/>
  <sheetViews>
    <sheetView workbookViewId="0">
      <selection activeCell="J27" sqref="J27"/>
    </sheetView>
  </sheetViews>
  <sheetFormatPr defaultColWidth="11.42578125" defaultRowHeight="15" x14ac:dyDescent="0.25"/>
  <cols>
    <col min="1" max="1" width="5.85546875" style="1" customWidth="1"/>
    <col min="2" max="2" width="30.5703125" style="1" customWidth="1"/>
    <col min="3" max="3" width="16.85546875" style="1" customWidth="1"/>
    <col min="4" max="4" width="12.42578125" style="1" bestFit="1" customWidth="1"/>
    <col min="5" max="5" width="11.42578125" style="1"/>
    <col min="6" max="6" width="12.7109375" style="1" bestFit="1" customWidth="1"/>
    <col min="7" max="7" width="11.42578125" style="1"/>
    <col min="8" max="8" width="11.5703125" style="1" bestFit="1" customWidth="1"/>
    <col min="9" max="9" width="15.28515625" style="1" customWidth="1"/>
    <col min="10" max="10" width="11.42578125" style="1"/>
    <col min="11" max="11" width="17.140625" style="1" customWidth="1"/>
    <col min="12" max="12" width="11.42578125" style="1"/>
    <col min="13" max="13" width="32.85546875" style="1" customWidth="1"/>
    <col min="14" max="15" width="15" style="1" bestFit="1" customWidth="1"/>
    <col min="16" max="16384" width="11.42578125" style="1"/>
  </cols>
  <sheetData>
    <row r="8" spans="2:8" x14ac:dyDescent="0.25">
      <c r="B8" s="4" t="s">
        <v>11</v>
      </c>
      <c r="C8" s="2"/>
    </row>
    <row r="9" spans="2:8" x14ac:dyDescent="0.25">
      <c r="B9" s="2" t="s">
        <v>12</v>
      </c>
      <c r="C9" s="2"/>
    </row>
    <row r="10" spans="2:8" x14ac:dyDescent="0.25">
      <c r="B10" s="2" t="s">
        <v>13</v>
      </c>
      <c r="C10" s="2"/>
    </row>
    <row r="11" spans="2:8" x14ac:dyDescent="0.25">
      <c r="B11" s="2" t="s">
        <v>14</v>
      </c>
      <c r="C11" s="2"/>
    </row>
    <row r="12" spans="2:8" x14ac:dyDescent="0.25">
      <c r="B12" s="2"/>
      <c r="C12" s="2"/>
    </row>
    <row r="13" spans="2:8" x14ac:dyDescent="0.25">
      <c r="B13" s="2"/>
      <c r="C13" s="2"/>
    </row>
    <row r="14" spans="2:8" ht="15.75" x14ac:dyDescent="0.25">
      <c r="B14" s="2" t="s">
        <v>0</v>
      </c>
      <c r="C14" s="5">
        <v>173613574</v>
      </c>
      <c r="D14" s="5">
        <f>+C14*0.6</f>
        <v>104168144.39999999</v>
      </c>
      <c r="E14" s="112">
        <f>+D14/'X.3. Bonos'!B14</f>
        <v>972.26378455730378</v>
      </c>
      <c r="H14" s="111" t="s">
        <v>113</v>
      </c>
    </row>
    <row r="15" spans="2:8" x14ac:dyDescent="0.25">
      <c r="B15" s="2" t="s">
        <v>1</v>
      </c>
      <c r="C15" s="5">
        <f>+C14*0.4</f>
        <v>69445429.600000009</v>
      </c>
      <c r="D15" s="54">
        <f>+D14+C15</f>
        <v>173613574</v>
      </c>
    </row>
    <row r="17" spans="2:16" x14ac:dyDescent="0.25">
      <c r="B17" s="6" t="s">
        <v>2</v>
      </c>
      <c r="C17" s="6" t="s">
        <v>3</v>
      </c>
      <c r="D17" s="2"/>
      <c r="E17" s="2"/>
      <c r="F17" s="2"/>
      <c r="G17" s="2"/>
      <c r="H17" s="50" t="s">
        <v>34</v>
      </c>
      <c r="I17" s="349" t="s">
        <v>44</v>
      </c>
      <c r="J17" s="349"/>
      <c r="K17" s="349"/>
      <c r="L17" s="349"/>
      <c r="M17" s="349"/>
      <c r="N17" s="50" t="s">
        <v>46</v>
      </c>
      <c r="O17" s="50" t="s">
        <v>47</v>
      </c>
    </row>
    <row r="18" spans="2:16" x14ac:dyDescent="0.25">
      <c r="B18" s="6" t="s">
        <v>4</v>
      </c>
      <c r="C18" s="7">
        <v>5.2499999999999998E-2</v>
      </c>
      <c r="D18" s="2"/>
      <c r="E18" s="2"/>
      <c r="F18" s="2"/>
      <c r="G18" s="2"/>
      <c r="H18" s="187">
        <v>43511</v>
      </c>
      <c r="I18" s="350" t="s">
        <v>48</v>
      </c>
      <c r="J18" s="350"/>
      <c r="K18" s="350"/>
      <c r="L18" s="350"/>
      <c r="M18" s="350"/>
      <c r="N18" s="52">
        <f>+C15</f>
        <v>69445429.600000009</v>
      </c>
      <c r="O18" s="52"/>
    </row>
    <row r="19" spans="2:16" x14ac:dyDescent="0.25">
      <c r="B19" s="6" t="s">
        <v>1</v>
      </c>
      <c r="C19" s="8">
        <f>+C15</f>
        <v>69445429.600000009</v>
      </c>
      <c r="D19" s="2"/>
      <c r="E19" s="2"/>
      <c r="F19" s="2"/>
      <c r="G19" s="2"/>
      <c r="H19" s="187">
        <v>43511</v>
      </c>
      <c r="I19" s="350" t="s">
        <v>45</v>
      </c>
      <c r="J19" s="350"/>
      <c r="K19" s="350"/>
      <c r="L19" s="350"/>
      <c r="M19" s="350"/>
      <c r="N19" s="52"/>
      <c r="O19" s="52">
        <f>+N18</f>
        <v>69445429.600000009</v>
      </c>
    </row>
    <row r="20" spans="2:16" x14ac:dyDescent="0.25">
      <c r="B20" s="6" t="s">
        <v>5</v>
      </c>
      <c r="C20" s="9">
        <f>((1+5.25%)^(1/12))-1</f>
        <v>4.2731277661580691E-3</v>
      </c>
      <c r="D20" s="2"/>
      <c r="E20" s="2"/>
      <c r="F20" s="2"/>
      <c r="G20" s="2"/>
      <c r="H20" s="171"/>
      <c r="I20" s="198"/>
      <c r="J20" s="2"/>
      <c r="K20" s="2"/>
      <c r="L20" s="2"/>
      <c r="M20" s="2"/>
      <c r="N20" s="2"/>
      <c r="O20" s="2"/>
    </row>
    <row r="21" spans="2:16" ht="15.75" x14ac:dyDescent="0.25">
      <c r="C21" s="247"/>
      <c r="F21" s="2"/>
      <c r="H21" s="2"/>
      <c r="I21" s="2"/>
      <c r="J21" s="2"/>
      <c r="K21" s="2"/>
      <c r="L21" s="2"/>
      <c r="M21" s="2"/>
      <c r="N21" s="2"/>
      <c r="O21" s="2"/>
    </row>
    <row r="22" spans="2:16" ht="15.75" x14ac:dyDescent="0.25">
      <c r="D22" s="174"/>
      <c r="E22" s="247"/>
      <c r="F22" s="247"/>
      <c r="G22" s="247"/>
      <c r="H22" s="50" t="s">
        <v>34</v>
      </c>
      <c r="I22" s="346" t="s">
        <v>44</v>
      </c>
      <c r="J22" s="347"/>
      <c r="K22" s="347"/>
      <c r="L22" s="347"/>
      <c r="M22" s="348"/>
      <c r="N22" s="50" t="s">
        <v>46</v>
      </c>
      <c r="O22" s="50" t="s">
        <v>47</v>
      </c>
    </row>
    <row r="23" spans="2:16" ht="15.75" x14ac:dyDescent="0.25">
      <c r="B23" s="342" t="s">
        <v>109</v>
      </c>
      <c r="C23" s="342"/>
      <c r="D23" s="174"/>
      <c r="E23" s="174"/>
      <c r="F23" s="174"/>
      <c r="G23" s="174"/>
      <c r="H23" s="187">
        <f>+B27</f>
        <v>43555</v>
      </c>
      <c r="I23" s="343" t="s">
        <v>203</v>
      </c>
      <c r="J23" s="344"/>
      <c r="K23" s="344"/>
      <c r="L23" s="344"/>
      <c r="M23" s="345"/>
      <c r="N23" s="199"/>
      <c r="O23" s="199">
        <f>+C27</f>
        <v>296749.19345653546</v>
      </c>
    </row>
    <row r="24" spans="2:16" ht="15" customHeight="1" x14ac:dyDescent="0.25">
      <c r="B24" s="352" t="s">
        <v>212</v>
      </c>
      <c r="C24" s="352"/>
      <c r="D24" s="248"/>
      <c r="E24" s="248"/>
      <c r="F24" s="10"/>
      <c r="G24" s="174"/>
      <c r="H24" s="187">
        <f>+H23</f>
        <v>43555</v>
      </c>
      <c r="I24" s="343" t="s">
        <v>45</v>
      </c>
      <c r="J24" s="344"/>
      <c r="K24" s="344"/>
      <c r="L24" s="344"/>
      <c r="M24" s="345"/>
      <c r="N24" s="199">
        <f>+O23</f>
        <v>296749.19345653546</v>
      </c>
      <c r="O24" s="199"/>
      <c r="P24" s="148"/>
    </row>
    <row r="25" spans="2:16" ht="16.5" customHeight="1" x14ac:dyDescent="0.25">
      <c r="B25" s="107" t="s">
        <v>62</v>
      </c>
      <c r="C25" s="107" t="s">
        <v>63</v>
      </c>
      <c r="D25" s="10"/>
      <c r="E25" s="174"/>
      <c r="F25" s="174"/>
      <c r="G25" s="174"/>
      <c r="I25" s="351" t="s">
        <v>213</v>
      </c>
      <c r="J25" s="351"/>
      <c r="K25" s="351"/>
      <c r="L25" s="351"/>
      <c r="M25" s="351"/>
      <c r="N25" s="351"/>
    </row>
    <row r="26" spans="2:16" ht="15.75" x14ac:dyDescent="0.25">
      <c r="B26" s="106">
        <v>43524</v>
      </c>
      <c r="C26" s="104">
        <f>-C19</f>
        <v>-69445429.600000009</v>
      </c>
      <c r="D26" s="10"/>
      <c r="E26" s="174"/>
      <c r="F26" s="174"/>
      <c r="G26" s="247"/>
      <c r="H26" s="247"/>
    </row>
    <row r="27" spans="2:16" ht="15.75" x14ac:dyDescent="0.25">
      <c r="B27" s="106">
        <v>43555</v>
      </c>
      <c r="C27" s="108">
        <f>+$C$19*$C$20</f>
        <v>296749.19345653546</v>
      </c>
      <c r="D27" s="10"/>
      <c r="E27" s="174"/>
      <c r="F27" s="174"/>
      <c r="G27" s="174"/>
      <c r="H27" s="174"/>
    </row>
    <row r="28" spans="2:16" ht="15" customHeight="1" x14ac:dyDescent="0.25">
      <c r="B28" s="106">
        <v>43585</v>
      </c>
      <c r="C28" s="108">
        <f t="shared" ref="C28:C47" si="0">+$C$19*$C$20</f>
        <v>296749.19345653546</v>
      </c>
      <c r="D28" s="10"/>
      <c r="E28" s="174"/>
      <c r="F28" s="174"/>
      <c r="G28" s="174"/>
      <c r="H28" s="50" t="s">
        <v>34</v>
      </c>
      <c r="I28" s="346" t="s">
        <v>44</v>
      </c>
      <c r="J28" s="347"/>
      <c r="K28" s="347"/>
      <c r="L28" s="347"/>
      <c r="M28" s="348"/>
      <c r="N28" s="50" t="s">
        <v>46</v>
      </c>
      <c r="O28" s="50" t="s">
        <v>47</v>
      </c>
    </row>
    <row r="29" spans="2:16" ht="15.75" x14ac:dyDescent="0.25">
      <c r="B29" s="106">
        <v>43616</v>
      </c>
      <c r="C29" s="108">
        <f t="shared" si="0"/>
        <v>296749.19345653546</v>
      </c>
      <c r="D29" s="10"/>
      <c r="H29" s="187">
        <f>+B48</f>
        <v>44196</v>
      </c>
      <c r="I29" s="350" t="s">
        <v>48</v>
      </c>
      <c r="J29" s="350"/>
      <c r="K29" s="350"/>
      <c r="L29" s="350"/>
      <c r="M29" s="350"/>
      <c r="N29" s="199"/>
      <c r="O29" s="199">
        <f>+C48</f>
        <v>69742178.79345654</v>
      </c>
    </row>
    <row r="30" spans="2:16" ht="15.75" x14ac:dyDescent="0.25">
      <c r="B30" s="106">
        <v>43646</v>
      </c>
      <c r="C30" s="108">
        <f t="shared" si="0"/>
        <v>296749.19345653546</v>
      </c>
      <c r="D30" s="10"/>
      <c r="H30" s="187">
        <f>+H29</f>
        <v>44196</v>
      </c>
      <c r="I30" s="350" t="s">
        <v>45</v>
      </c>
      <c r="J30" s="350"/>
      <c r="K30" s="350"/>
      <c r="L30" s="350"/>
      <c r="M30" s="350"/>
      <c r="N30" s="199">
        <f>+O29</f>
        <v>69742178.79345654</v>
      </c>
      <c r="O30" s="199"/>
    </row>
    <row r="31" spans="2:16" ht="15.75" x14ac:dyDescent="0.25">
      <c r="B31" s="106">
        <v>43677</v>
      </c>
      <c r="C31" s="108">
        <f t="shared" si="0"/>
        <v>296749.19345653546</v>
      </c>
      <c r="D31" s="10"/>
      <c r="H31" s="174"/>
      <c r="I31" s="1" t="s">
        <v>214</v>
      </c>
    </row>
    <row r="32" spans="2:16" ht="15.75" x14ac:dyDescent="0.25">
      <c r="B32" s="106">
        <v>43708</v>
      </c>
      <c r="C32" s="108">
        <f t="shared" si="0"/>
        <v>296749.19345653546</v>
      </c>
      <c r="D32" s="10"/>
      <c r="H32" s="174"/>
    </row>
    <row r="33" spans="2:4" ht="15.75" x14ac:dyDescent="0.25">
      <c r="B33" s="106">
        <v>43738</v>
      </c>
      <c r="C33" s="108">
        <f t="shared" si="0"/>
        <v>296749.19345653546</v>
      </c>
      <c r="D33" s="10"/>
    </row>
    <row r="34" spans="2:4" ht="15.75" x14ac:dyDescent="0.25">
      <c r="B34" s="106">
        <v>43769</v>
      </c>
      <c r="C34" s="108">
        <f t="shared" si="0"/>
        <v>296749.19345653546</v>
      </c>
      <c r="D34" s="10"/>
    </row>
    <row r="35" spans="2:4" ht="15.75" x14ac:dyDescent="0.25">
      <c r="B35" s="106">
        <v>43799</v>
      </c>
      <c r="C35" s="108">
        <f t="shared" si="0"/>
        <v>296749.19345653546</v>
      </c>
      <c r="D35" s="10"/>
    </row>
    <row r="36" spans="2:4" ht="15.75" x14ac:dyDescent="0.25">
      <c r="B36" s="106">
        <v>43830</v>
      </c>
      <c r="C36" s="108">
        <f t="shared" si="0"/>
        <v>296749.19345653546</v>
      </c>
      <c r="D36" s="10"/>
    </row>
    <row r="37" spans="2:4" ht="15.75" x14ac:dyDescent="0.25">
      <c r="B37" s="106">
        <v>43861</v>
      </c>
      <c r="C37" s="108">
        <f t="shared" si="0"/>
        <v>296749.19345653546</v>
      </c>
      <c r="D37" s="10"/>
    </row>
    <row r="38" spans="2:4" ht="15.75" x14ac:dyDescent="0.25">
      <c r="B38" s="106">
        <v>43890</v>
      </c>
      <c r="C38" s="108">
        <f t="shared" si="0"/>
        <v>296749.19345653546</v>
      </c>
    </row>
    <row r="39" spans="2:4" ht="15.75" x14ac:dyDescent="0.25">
      <c r="B39" s="106">
        <v>43921</v>
      </c>
      <c r="C39" s="108">
        <f t="shared" si="0"/>
        <v>296749.19345653546</v>
      </c>
      <c r="D39" s="10"/>
    </row>
    <row r="40" spans="2:4" ht="15.75" x14ac:dyDescent="0.25">
      <c r="B40" s="106">
        <v>43951</v>
      </c>
      <c r="C40" s="108">
        <f t="shared" si="0"/>
        <v>296749.19345653546</v>
      </c>
      <c r="D40" s="10"/>
    </row>
    <row r="41" spans="2:4" ht="15.75" x14ac:dyDescent="0.25">
      <c r="B41" s="106">
        <v>43982</v>
      </c>
      <c r="C41" s="108">
        <f t="shared" si="0"/>
        <v>296749.19345653546</v>
      </c>
      <c r="D41" s="10"/>
    </row>
    <row r="42" spans="2:4" ht="15.75" x14ac:dyDescent="0.25">
      <c r="B42" s="106">
        <v>44012</v>
      </c>
      <c r="C42" s="108">
        <f t="shared" si="0"/>
        <v>296749.19345653546</v>
      </c>
      <c r="D42" s="10"/>
    </row>
    <row r="43" spans="2:4" ht="15.75" x14ac:dyDescent="0.25">
      <c r="B43" s="106">
        <v>44043</v>
      </c>
      <c r="C43" s="108">
        <f t="shared" si="0"/>
        <v>296749.19345653546</v>
      </c>
      <c r="D43" s="10"/>
    </row>
    <row r="44" spans="2:4" ht="15.75" x14ac:dyDescent="0.25">
      <c r="B44" s="106">
        <v>44074</v>
      </c>
      <c r="C44" s="108">
        <f t="shared" si="0"/>
        <v>296749.19345653546</v>
      </c>
      <c r="D44" s="10"/>
    </row>
    <row r="45" spans="2:4" ht="15.75" x14ac:dyDescent="0.25">
      <c r="B45" s="106">
        <v>44104</v>
      </c>
      <c r="C45" s="108">
        <f t="shared" si="0"/>
        <v>296749.19345653546</v>
      </c>
      <c r="D45" s="10"/>
    </row>
    <row r="46" spans="2:4" ht="15.75" x14ac:dyDescent="0.25">
      <c r="B46" s="106">
        <v>44135</v>
      </c>
      <c r="C46" s="108">
        <f t="shared" si="0"/>
        <v>296749.19345653546</v>
      </c>
      <c r="D46" s="10"/>
    </row>
    <row r="47" spans="2:4" ht="15.75" x14ac:dyDescent="0.25">
      <c r="B47" s="106">
        <v>44165</v>
      </c>
      <c r="C47" s="108">
        <f t="shared" si="0"/>
        <v>296749.19345653546</v>
      </c>
      <c r="D47" s="10"/>
    </row>
    <row r="48" spans="2:4" ht="15.75" x14ac:dyDescent="0.25">
      <c r="B48" s="106">
        <v>44196</v>
      </c>
      <c r="C48" s="108">
        <f>+($C$19*$C$20)+C19</f>
        <v>69742178.79345654</v>
      </c>
      <c r="D48" s="10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I25:N25"/>
    <mergeCell ref="I28:M28"/>
    <mergeCell ref="I29:M29"/>
    <mergeCell ref="I30:M30"/>
    <mergeCell ref="B24:C24"/>
    <mergeCell ref="B23:C23"/>
    <mergeCell ref="I24:M24"/>
    <mergeCell ref="I22:M22"/>
    <mergeCell ref="I17:M17"/>
    <mergeCell ref="I18:M18"/>
    <mergeCell ref="I19:M19"/>
    <mergeCell ref="I23:M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3B4-43B7-48C6-A6B2-EB4DC99A13F9}">
  <dimension ref="A1:AH55"/>
  <sheetViews>
    <sheetView showGridLines="0" zoomScale="85" zoomScaleNormal="85" zoomScalePageLayoutView="60" workbookViewId="0">
      <selection activeCell="J27" sqref="J27"/>
    </sheetView>
  </sheetViews>
  <sheetFormatPr defaultColWidth="11.42578125" defaultRowHeight="15" x14ac:dyDescent="0.25"/>
  <cols>
    <col min="1" max="1" width="21" style="15" bestFit="1" customWidth="1"/>
    <col min="2" max="2" width="27.140625" style="15" bestFit="1" customWidth="1"/>
    <col min="3" max="3" width="21.7109375" style="15" bestFit="1" customWidth="1"/>
    <col min="4" max="4" width="23.42578125" style="15" bestFit="1" customWidth="1"/>
    <col min="5" max="5" width="12.28515625" style="15" bestFit="1" customWidth="1"/>
    <col min="6" max="6" width="11.7109375" style="15" bestFit="1" customWidth="1"/>
    <col min="7" max="7" width="19.42578125" style="15" bestFit="1" customWidth="1"/>
    <col min="8" max="8" width="7.28515625" style="15" customWidth="1"/>
    <col min="9" max="9" width="21" style="15" bestFit="1" customWidth="1"/>
    <col min="10" max="14" width="11.42578125" style="15"/>
    <col min="15" max="15" width="13.7109375" style="15" bestFit="1" customWidth="1"/>
    <col min="16" max="16" width="8.42578125" style="15" customWidth="1"/>
    <col min="17" max="17" width="13" style="15" bestFit="1" customWidth="1"/>
    <col min="18" max="21" width="11.42578125" style="15"/>
    <col min="22" max="22" width="15.28515625" style="15" bestFit="1" customWidth="1"/>
    <col min="23" max="26" width="11.42578125" style="15"/>
    <col min="27" max="27" width="26.5703125" style="15" customWidth="1"/>
    <col min="28" max="31" width="11.42578125" style="15"/>
    <col min="32" max="32" width="20.28515625" style="15" customWidth="1"/>
    <col min="33" max="33" width="15.28515625" style="15" bestFit="1" customWidth="1"/>
    <col min="34" max="34" width="17" style="15" customWidth="1"/>
    <col min="35" max="16384" width="11.42578125" style="15"/>
  </cols>
  <sheetData>
    <row r="1" spans="1:34" x14ac:dyDescent="0.25">
      <c r="A1" s="13" t="s">
        <v>15</v>
      </c>
      <c r="B1" s="14">
        <v>43417</v>
      </c>
      <c r="I1" s="16"/>
    </row>
    <row r="2" spans="1:34" ht="6.75" customHeight="1" x14ac:dyDescent="0.25">
      <c r="A2" s="17"/>
      <c r="B2" s="18"/>
      <c r="I2" s="16"/>
    </row>
    <row r="3" spans="1:34" x14ac:dyDescent="0.25">
      <c r="A3" s="17"/>
      <c r="B3" s="19" t="s">
        <v>16</v>
      </c>
      <c r="C3" s="20" t="s">
        <v>17</v>
      </c>
      <c r="D3" s="20" t="s">
        <v>18</v>
      </c>
      <c r="I3" s="16"/>
    </row>
    <row r="4" spans="1:34" x14ac:dyDescent="0.25">
      <c r="A4" s="21" t="s">
        <v>19</v>
      </c>
      <c r="B4" s="14">
        <v>45078</v>
      </c>
      <c r="C4" s="14">
        <v>46694</v>
      </c>
      <c r="D4" s="14">
        <v>45698</v>
      </c>
    </row>
    <row r="5" spans="1:34" x14ac:dyDescent="0.25">
      <c r="A5" s="22" t="s">
        <v>20</v>
      </c>
      <c r="B5" s="14">
        <f>COUPNCD(B1,B4,1,1)</f>
        <v>43617</v>
      </c>
      <c r="C5" s="14">
        <f>COUPNCD(B1,C4,1,1)</f>
        <v>43772</v>
      </c>
      <c r="D5" s="14">
        <f>COUPNCD(B1,D4,1,1)</f>
        <v>43506</v>
      </c>
      <c r="F5" s="23"/>
      <c r="H5" s="24"/>
      <c r="V5" s="25">
        <v>1543231627</v>
      </c>
    </row>
    <row r="6" spans="1:34" x14ac:dyDescent="0.25">
      <c r="A6" s="21" t="s">
        <v>21</v>
      </c>
      <c r="B6" s="26">
        <v>5.6000000000000001E-2</v>
      </c>
      <c r="C6" s="26">
        <v>5.5800000000000002E-2</v>
      </c>
      <c r="D6" s="26">
        <v>6.4500000000000002E-2</v>
      </c>
      <c r="H6" s="27"/>
      <c r="V6" s="28">
        <f>+V5*45%</f>
        <v>694454232.14999998</v>
      </c>
      <c r="AA6" s="201" t="s">
        <v>113</v>
      </c>
    </row>
    <row r="7" spans="1:34" x14ac:dyDescent="0.25">
      <c r="A7" s="21" t="s">
        <v>22</v>
      </c>
      <c r="B7" s="29">
        <v>101612</v>
      </c>
      <c r="C7" s="29">
        <v>103566</v>
      </c>
      <c r="D7" s="53">
        <v>1000000</v>
      </c>
      <c r="V7" s="28">
        <f>+V5*20%</f>
        <v>308646325.40000004</v>
      </c>
    </row>
    <row r="8" spans="1:34" x14ac:dyDescent="0.25">
      <c r="A8" s="21" t="s">
        <v>23</v>
      </c>
      <c r="B8" s="26">
        <v>7.0000000000000007E-2</v>
      </c>
      <c r="C8" s="26">
        <v>5.459E-2</v>
      </c>
      <c r="D8" s="26">
        <v>6.25E-2</v>
      </c>
      <c r="V8" s="30">
        <f>+V5*35%</f>
        <v>540131069.44999993</v>
      </c>
      <c r="AA8" s="50" t="s">
        <v>34</v>
      </c>
      <c r="AB8" s="346" t="s">
        <v>44</v>
      </c>
      <c r="AC8" s="347"/>
      <c r="AD8" s="347"/>
      <c r="AE8" s="347"/>
      <c r="AF8" s="348"/>
      <c r="AG8" s="50" t="s">
        <v>46</v>
      </c>
      <c r="AH8" s="50" t="s">
        <v>47</v>
      </c>
    </row>
    <row r="9" spans="1:34" x14ac:dyDescent="0.2">
      <c r="A9" s="21" t="s">
        <v>24</v>
      </c>
      <c r="B9" s="31">
        <f>COUNT(A21:A55)</f>
        <v>5</v>
      </c>
      <c r="C9" s="31">
        <f>COUNT(I21:I55)</f>
        <v>9</v>
      </c>
      <c r="D9" s="31">
        <f>COUNT(Q20:Q55)</f>
        <v>7</v>
      </c>
      <c r="E9" s="22">
        <f>+IF(AND(B9&gt;C9,B9&gt;D9,C9&gt;D9),0,16)</f>
        <v>16</v>
      </c>
      <c r="G9" s="32"/>
      <c r="I9" s="22"/>
      <c r="J9" s="33"/>
      <c r="M9" s="22"/>
      <c r="N9" s="22"/>
      <c r="O9" s="32"/>
      <c r="AA9" s="51">
        <v>43511</v>
      </c>
      <c r="AB9" s="354" t="s">
        <v>49</v>
      </c>
      <c r="AC9" s="355"/>
      <c r="AD9" s="355"/>
      <c r="AE9" s="355"/>
      <c r="AF9" s="356"/>
      <c r="AG9" s="52">
        <f>+'X.2. Tabla de capitalización'!D14</f>
        <v>104168144.39999999</v>
      </c>
      <c r="AH9" s="52"/>
    </row>
    <row r="10" spans="1:34" x14ac:dyDescent="0.2">
      <c r="A10" s="21" t="s">
        <v>25</v>
      </c>
      <c r="B10" s="34">
        <f>ROUND(SUM(G21:G111),6)</f>
        <v>110355.19031400001</v>
      </c>
      <c r="C10" s="34">
        <f>ROUND(SUM(O21:O111),6)</f>
        <v>102850.704136</v>
      </c>
      <c r="D10" s="34">
        <f>ROUND(SUM(W21:W111),6)</f>
        <v>1036879.25</v>
      </c>
      <c r="E10" s="35">
        <f>SUM(B10:D10)</f>
        <v>1250085.14445</v>
      </c>
      <c r="F10" s="22"/>
      <c r="G10" s="32"/>
      <c r="I10" s="22"/>
      <c r="J10" s="33"/>
      <c r="M10" s="22"/>
      <c r="N10" s="22"/>
      <c r="O10" s="32"/>
      <c r="AA10" s="51">
        <v>43511</v>
      </c>
      <c r="AB10" s="354" t="s">
        <v>45</v>
      </c>
      <c r="AC10" s="355"/>
      <c r="AD10" s="355"/>
      <c r="AE10" s="355"/>
      <c r="AF10" s="356"/>
      <c r="AG10" s="52"/>
      <c r="AH10" s="52">
        <f>+AG9</f>
        <v>104168144.39999999</v>
      </c>
    </row>
    <row r="11" spans="1:34" x14ac:dyDescent="0.25">
      <c r="A11" s="21" t="s">
        <v>26</v>
      </c>
      <c r="B11" s="14">
        <f>EDATE(B5,-12)</f>
        <v>43252</v>
      </c>
      <c r="C11" s="14">
        <f>EDATE(C5,-12)</f>
        <v>43407</v>
      </c>
      <c r="D11" s="14">
        <f>EDATE(D5,-12)</f>
        <v>43141</v>
      </c>
      <c r="E11" s="22"/>
      <c r="F11" s="22"/>
      <c r="G11" s="32"/>
      <c r="I11" s="22"/>
      <c r="J11" s="33"/>
      <c r="M11" s="22"/>
      <c r="N11" s="22"/>
      <c r="O11" s="32"/>
    </row>
    <row r="12" spans="1:34" x14ac:dyDescent="0.25">
      <c r="A12" s="21" t="s">
        <v>27</v>
      </c>
      <c r="B12" s="31">
        <f>YEARFRAC(B11,B1,1)*365</f>
        <v>165</v>
      </c>
      <c r="C12" s="31">
        <f>YEARFRAC(C11,B1,1)*365</f>
        <v>10</v>
      </c>
      <c r="D12" s="31">
        <f>YEARFRAC(D11,B1,1)*365</f>
        <v>276</v>
      </c>
      <c r="E12" s="22"/>
      <c r="F12" s="22"/>
      <c r="G12" s="32"/>
      <c r="I12" s="22"/>
      <c r="J12" s="33"/>
      <c r="M12" s="22"/>
      <c r="N12" s="22"/>
      <c r="O12" s="32"/>
      <c r="AA12" s="50" t="s">
        <v>34</v>
      </c>
      <c r="AB12" s="346" t="s">
        <v>44</v>
      </c>
      <c r="AC12" s="347"/>
      <c r="AD12" s="347"/>
      <c r="AE12" s="347"/>
      <c r="AF12" s="348"/>
      <c r="AG12" s="50" t="s">
        <v>46</v>
      </c>
      <c r="AH12" s="50" t="s">
        <v>47</v>
      </c>
    </row>
    <row r="13" spans="1:34" x14ac:dyDescent="0.2">
      <c r="A13" s="21" t="s">
        <v>28</v>
      </c>
      <c r="B13" s="36">
        <f>ROUND(B7*B8*(B12/365),6)</f>
        <v>3215.3934250000002</v>
      </c>
      <c r="C13" s="36">
        <f>ROUND(C7*C8*(C12/365),6)</f>
        <v>154.89501200000001</v>
      </c>
      <c r="D13" s="36">
        <f>ROUND(D7*D8*(D12/365),6)</f>
        <v>47260.273973000003</v>
      </c>
      <c r="E13" s="22"/>
      <c r="F13" s="22"/>
      <c r="G13" s="32"/>
      <c r="I13" s="22"/>
      <c r="J13" s="33"/>
      <c r="M13" s="22"/>
      <c r="N13" s="22"/>
      <c r="O13" s="32"/>
      <c r="AA13" s="187">
        <v>43861</v>
      </c>
      <c r="AB13" s="343" t="s">
        <v>45</v>
      </c>
      <c r="AC13" s="344"/>
      <c r="AD13" s="344"/>
      <c r="AE13" s="344"/>
      <c r="AF13" s="345"/>
      <c r="AG13" s="52">
        <f>+'X.4. Valoración feb y mar'!C102</f>
        <v>474069.91526522668</v>
      </c>
      <c r="AH13" s="52"/>
    </row>
    <row r="14" spans="1:34" x14ac:dyDescent="0.2">
      <c r="A14" s="21" t="s">
        <v>29</v>
      </c>
      <c r="B14" s="37">
        <f>B10-B13</f>
        <v>107139.796889</v>
      </c>
      <c r="C14" s="37">
        <f>C10-C13</f>
        <v>102695.80912400001</v>
      </c>
      <c r="D14" s="37">
        <f>D10-D13</f>
        <v>989618.976027</v>
      </c>
      <c r="E14" s="22"/>
      <c r="F14" s="22"/>
      <c r="G14" s="32"/>
      <c r="I14" s="22"/>
      <c r="J14" s="33"/>
      <c r="M14" s="22"/>
      <c r="N14" s="22"/>
      <c r="O14" s="32"/>
      <c r="AA14" s="187">
        <v>43861</v>
      </c>
      <c r="AB14" s="343" t="s">
        <v>203</v>
      </c>
      <c r="AC14" s="344"/>
      <c r="AD14" s="344"/>
      <c r="AE14" s="344"/>
      <c r="AF14" s="345"/>
      <c r="AG14" s="52"/>
      <c r="AH14" s="52">
        <f>+AG13</f>
        <v>474069.91526522668</v>
      </c>
    </row>
    <row r="15" spans="1:34" x14ac:dyDescent="0.25">
      <c r="A15" s="21" t="s">
        <v>30</v>
      </c>
      <c r="B15" s="38">
        <f>+SUMPRODUCT(B21:B23,H21:H23)/365</f>
        <v>0.26891704578696002</v>
      </c>
      <c r="C15" s="39">
        <f>+SUMPRODUCT(J21:J24,P21:P24)/365</f>
        <v>0.46318157100040619</v>
      </c>
      <c r="D15" s="39">
        <f>+SUMPRODUCT(R21:R36,X21:X36)/365</f>
        <v>5.1157041946744428</v>
      </c>
      <c r="E15" s="22">
        <f>SUMPRODUCT(B15:D15,B17:D17)</f>
        <v>4.3050527357881521</v>
      </c>
      <c r="F15" s="22"/>
      <c r="G15" s="32"/>
      <c r="I15" s="22"/>
      <c r="J15" s="33"/>
      <c r="M15" s="22"/>
      <c r="N15" s="22"/>
      <c r="O15" s="32"/>
    </row>
    <row r="16" spans="1:34" x14ac:dyDescent="0.25">
      <c r="A16" s="22"/>
      <c r="B16" s="40">
        <v>0.5</v>
      </c>
      <c r="C16" s="27">
        <v>0.2</v>
      </c>
      <c r="D16" s="27">
        <f>1-B16-C16</f>
        <v>0.3</v>
      </c>
      <c r="E16" s="22"/>
      <c r="F16" s="22"/>
      <c r="G16" s="32"/>
      <c r="I16" s="22"/>
      <c r="J16" s="33"/>
      <c r="M16" s="22"/>
      <c r="N16" s="22"/>
      <c r="O16" s="32"/>
    </row>
    <row r="17" spans="1:24" x14ac:dyDescent="0.25">
      <c r="A17" s="22"/>
      <c r="B17" s="40">
        <f>B10/$E$10</f>
        <v>8.8278139136316977E-2</v>
      </c>
      <c r="C17" s="40">
        <f t="shared" ref="C17:D17" si="0">C10/$E$10</f>
        <v>8.2274959103886658E-2</v>
      </c>
      <c r="D17" s="40">
        <f t="shared" si="0"/>
        <v>0.82944690175979641</v>
      </c>
      <c r="E17" s="22"/>
      <c r="F17" s="22"/>
      <c r="G17" s="32"/>
      <c r="I17" s="22"/>
      <c r="J17" s="33"/>
      <c r="M17" s="22"/>
      <c r="N17" s="22"/>
      <c r="O17" s="32"/>
    </row>
    <row r="18" spans="1:24" x14ac:dyDescent="0.25">
      <c r="A18" s="22">
        <v>324079</v>
      </c>
      <c r="B18" s="40">
        <f>B7*$A$18/$E$10</f>
        <v>26342.457947125156</v>
      </c>
      <c r="C18" s="40">
        <f t="shared" ref="C18:D18" si="1">C7*$A$18/$E$10</f>
        <v>26849.023734912844</v>
      </c>
      <c r="D18" s="40">
        <f t="shared" si="1"/>
        <v>259245.54134477378</v>
      </c>
      <c r="E18" s="22"/>
      <c r="F18" s="22"/>
      <c r="G18" s="32"/>
      <c r="I18" s="22"/>
      <c r="J18" s="33"/>
      <c r="M18" s="22"/>
      <c r="N18" s="22"/>
      <c r="O18" s="32"/>
    </row>
    <row r="19" spans="1:24" x14ac:dyDescent="0.25">
      <c r="B19" s="353" t="s">
        <v>31</v>
      </c>
      <c r="C19" s="353"/>
      <c r="D19" s="353"/>
      <c r="E19" s="353"/>
      <c r="F19" s="353"/>
      <c r="G19" s="353"/>
      <c r="J19" s="353" t="s">
        <v>32</v>
      </c>
      <c r="K19" s="353"/>
      <c r="L19" s="353"/>
      <c r="M19" s="353"/>
      <c r="N19" s="353"/>
      <c r="O19" s="353"/>
      <c r="R19" s="353" t="s">
        <v>33</v>
      </c>
      <c r="S19" s="353"/>
      <c r="T19" s="353"/>
      <c r="U19" s="353"/>
      <c r="V19" s="353"/>
      <c r="W19" s="353"/>
    </row>
    <row r="20" spans="1:24" x14ac:dyDescent="0.25">
      <c r="A20" s="41" t="s">
        <v>34</v>
      </c>
      <c r="B20" s="41" t="s">
        <v>35</v>
      </c>
      <c r="C20" s="41" t="s">
        <v>23</v>
      </c>
      <c r="D20" s="41" t="s">
        <v>36</v>
      </c>
      <c r="E20" s="41" t="s">
        <v>37</v>
      </c>
      <c r="F20" s="41" t="s">
        <v>38</v>
      </c>
      <c r="G20" s="41" t="s">
        <v>39</v>
      </c>
      <c r="I20" s="41" t="s">
        <v>34</v>
      </c>
      <c r="J20" s="41" t="s">
        <v>35</v>
      </c>
      <c r="K20" s="41" t="s">
        <v>23</v>
      </c>
      <c r="L20" s="41" t="s">
        <v>36</v>
      </c>
      <c r="M20" s="41" t="s">
        <v>40</v>
      </c>
      <c r="N20" s="41" t="s">
        <v>38</v>
      </c>
      <c r="O20" s="41" t="s">
        <v>41</v>
      </c>
      <c r="Q20" s="41" t="s">
        <v>34</v>
      </c>
      <c r="R20" s="41" t="s">
        <v>35</v>
      </c>
      <c r="S20" s="41" t="s">
        <v>23</v>
      </c>
      <c r="T20" s="41" t="s">
        <v>36</v>
      </c>
      <c r="U20" s="41" t="s">
        <v>42</v>
      </c>
      <c r="V20" s="41" t="s">
        <v>38</v>
      </c>
      <c r="W20" s="41" t="s">
        <v>43</v>
      </c>
    </row>
    <row r="21" spans="1:24" x14ac:dyDescent="0.25">
      <c r="A21" s="42">
        <f>B5</f>
        <v>43617</v>
      </c>
      <c r="B21" s="43">
        <f>IF(A21&lt;=$B$4,YEARFRAC(B1,A21,1)*365,"")</f>
        <v>200</v>
      </c>
      <c r="C21" s="44">
        <f>IF(A21&lt;=$B$4,$B$7*$B$8,"")</f>
        <v>7112.8400000000011</v>
      </c>
      <c r="D21" s="44">
        <f>IF(A21&lt;$B$4,0,IF(A21=$B$4,$B$7,""))</f>
        <v>0</v>
      </c>
      <c r="E21" s="44">
        <f>IFERROR(C21+D21,"")</f>
        <v>7112.8400000000011</v>
      </c>
      <c r="F21" s="45">
        <f t="shared" ref="F21:F55" si="2">IF(B21&lt;&gt;"",ROUND((1+$B$6)^-(B21/365),6),"")</f>
        <v>0.97058500000000003</v>
      </c>
      <c r="G21" s="46">
        <f>IF(B21&lt;&gt;"",F21*E21,"")</f>
        <v>6903.6158114000009</v>
      </c>
      <c r="H21" s="47">
        <f>+G21/$B$10</f>
        <v>6.2558143316655462E-2</v>
      </c>
      <c r="I21" s="42">
        <f>C5</f>
        <v>43772</v>
      </c>
      <c r="J21" s="43">
        <f>IF(I21&lt;=$B$4,YEARFRAC(B1,I21,1)*365,"")</f>
        <v>355</v>
      </c>
      <c r="K21" s="44">
        <f>IF(I21&lt;=$C$4,$C$7*$C$8,"")</f>
        <v>5653.6679400000003</v>
      </c>
      <c r="L21" s="44">
        <f>IF(I21&lt;$C$4,0,IF(I21=$C$4,$C$7,""))</f>
        <v>0</v>
      </c>
      <c r="M21" s="44">
        <f>IFERROR(K21+L21,"")</f>
        <v>5653.6679400000003</v>
      </c>
      <c r="N21" s="45">
        <f>IF(J21&lt;&gt;"",ROUND((1+$C$6)^-(J21/365),6),"")</f>
        <v>0.94855900000000004</v>
      </c>
      <c r="O21" s="46">
        <f>IF(J21&lt;&gt;"",N21*M21,"")</f>
        <v>5362.8376074984608</v>
      </c>
      <c r="P21" s="48">
        <f>+O21/$C$10</f>
        <v>5.214196297972986E-2</v>
      </c>
      <c r="Q21" s="42">
        <f>+D5</f>
        <v>43506</v>
      </c>
      <c r="R21" s="43">
        <f>IF(Q21&lt;=$D$4,YEARFRAC(B1,Q21,1)*365,"")</f>
        <v>89</v>
      </c>
      <c r="S21" s="44">
        <f>IF(Q21&lt;=$D$4,$D$7*$D$8,"")</f>
        <v>62500</v>
      </c>
      <c r="T21" s="44">
        <f>IF(Q21&lt;$D$4,0,IF(Q21=$D$4,$D$7,""))</f>
        <v>0</v>
      </c>
      <c r="U21" s="44">
        <f>IFERROR(S21+T21,"")</f>
        <v>62500</v>
      </c>
      <c r="V21" s="45">
        <f>IF(R21&lt;&gt;"",ROUND((1+$D$6)^-(R21/365),6),"")</f>
        <v>0.98487499999999994</v>
      </c>
      <c r="W21" s="46">
        <f>IF(R21&lt;&gt;"",V21*U21,"")</f>
        <v>61554.6875</v>
      </c>
      <c r="X21" s="48">
        <f>+W21/$D$10</f>
        <v>5.9365338345810273E-2</v>
      </c>
    </row>
    <row r="22" spans="1:24" x14ac:dyDescent="0.25">
      <c r="A22" s="42">
        <f>IFERROR(IF(EDATE(A21,12)&lt;=$B$4,EDATE(A21,12),""),"")</f>
        <v>43983</v>
      </c>
      <c r="B22" s="43">
        <f>IF(A22&lt;=$B$4,B21+YEARFRAC(A21,A22,1)*365,"")</f>
        <v>565</v>
      </c>
      <c r="C22" s="44">
        <f t="shared" ref="C22:C33" si="3">IF(A22&lt;=$B$4,$B$7*$B$8,"")</f>
        <v>7112.8400000000011</v>
      </c>
      <c r="D22" s="44">
        <f>IF(A22&lt;$B$4,0,IF(A22=$B$4,$B$7,""))</f>
        <v>0</v>
      </c>
      <c r="E22" s="44">
        <f t="shared" ref="E22:E33" si="4">IFERROR(C22+D22,"")</f>
        <v>7112.8400000000011</v>
      </c>
      <c r="F22" s="45">
        <f t="shared" si="2"/>
        <v>0.91911399999999999</v>
      </c>
      <c r="G22" s="46">
        <f>IF(B22&lt;&gt;"",F22*E22,"")</f>
        <v>6537.5108237600007</v>
      </c>
      <c r="H22" s="47">
        <f>+G22/$B$10</f>
        <v>5.9240628421358729E-2</v>
      </c>
      <c r="I22" s="42">
        <f>IFERROR(IF(EDATE(I21,12)&lt;=$C$4,EDATE(I21,12),""),"")</f>
        <v>44138</v>
      </c>
      <c r="J22" s="43">
        <f>IF(I22&lt;=$C$4,J21+YEARFRAC(I21,I22,1)*365,"")</f>
        <v>720</v>
      </c>
      <c r="K22" s="44">
        <f t="shared" ref="K22:K55" si="5">IF(I22&lt;=$C$4,$C$7*$C$8,"")</f>
        <v>5653.6679400000003</v>
      </c>
      <c r="L22" s="44">
        <f t="shared" ref="L22:L55" si="6">IF(I22&lt;$C$4,0,IF(I22=$C$4,$C$7,""))</f>
        <v>0</v>
      </c>
      <c r="M22" s="44">
        <f t="shared" ref="M22:M55" si="7">IFERROR(K22+L22,"")</f>
        <v>5653.6679400000003</v>
      </c>
      <c r="N22" s="45">
        <f t="shared" ref="N22:N55" si="8">IF(J22&lt;&gt;"",ROUND((1+$C$6)^-(J22/365),6),"")</f>
        <v>0.89842699999999998</v>
      </c>
      <c r="O22" s="46">
        <f t="shared" ref="O22:O55" si="9">IF(J22&lt;&gt;"",N22*M22,"")</f>
        <v>5079.4079263303802</v>
      </c>
      <c r="P22" s="48">
        <f>+O22/$C$10</f>
        <v>4.938622412943186E-2</v>
      </c>
      <c r="Q22" s="42">
        <f t="shared" ref="Q22:Q55" si="10">IFERROR(IF(EDATE(Q21,12)&lt;=$D$4,EDATE(Q21,12),""),"")</f>
        <v>43871</v>
      </c>
      <c r="R22" s="43">
        <f>IF(Q22&lt;=$D$4,R21+YEARFRAC(Q21,Q22,1)*365,"")</f>
        <v>454</v>
      </c>
      <c r="S22" s="44">
        <f t="shared" ref="S22:S55" si="11">IF(Q22&lt;=$D$4,$D$7*$D$8,"")</f>
        <v>62500</v>
      </c>
      <c r="T22" s="44">
        <f>IF(Q22&lt;$D$4,0,IF(Q22=$D$4,$D$7,""))</f>
        <v>0</v>
      </c>
      <c r="U22" s="44">
        <f t="shared" ref="U22:U55" si="12">IFERROR(S22+T22,"")</f>
        <v>62500</v>
      </c>
      <c r="V22" s="45">
        <f t="shared" ref="V22:V55" si="13">IF(R22&lt;&gt;"",ROUND((1+$D$6)^-(R22/365),6),"")</f>
        <v>0.92519899999999999</v>
      </c>
      <c r="W22" s="46">
        <f t="shared" ref="W22:W55" si="14">IF(R22&lt;&gt;"",V22*U22,"")</f>
        <v>57824.9375</v>
      </c>
      <c r="X22" s="48">
        <f t="shared" ref="X22:X27" si="15">+W22/$D$10</f>
        <v>5.5768246398990043E-2</v>
      </c>
    </row>
    <row r="23" spans="1:24" x14ac:dyDescent="0.25">
      <c r="A23" s="42">
        <f t="shared" ref="A23:A55" si="16">IFERROR(IF(EDATE(A22,12)&lt;=$B$4,EDATE(A22,12),""),"")</f>
        <v>44348</v>
      </c>
      <c r="B23" s="43">
        <f t="shared" ref="B23:B33" si="17">IF(A23&lt;=$B$4,B22+YEARFRAC(A22,A23,1)*365,"")</f>
        <v>930</v>
      </c>
      <c r="C23" s="44">
        <f t="shared" si="3"/>
        <v>7112.8400000000011</v>
      </c>
      <c r="D23" s="44">
        <f>IF(A23&lt;$B$4,0,IF(A23=$B$4,$B$7,""))</f>
        <v>0</v>
      </c>
      <c r="E23" s="44">
        <f t="shared" si="4"/>
        <v>7112.8400000000011</v>
      </c>
      <c r="F23" s="45">
        <f>IF(B23&lt;&gt;"",ROUND((1+$B$6)^-(B23/365),6),"")</f>
        <v>0.87037299999999995</v>
      </c>
      <c r="G23" s="46">
        <f>IF(B23&lt;&gt;"",F23*E23,"")</f>
        <v>6190.8238893200005</v>
      </c>
      <c r="H23" s="47">
        <f>+G23/$B$10</f>
        <v>5.6099073108431881E-2</v>
      </c>
      <c r="I23" s="42">
        <f t="shared" ref="I23:I55" si="18">IFERROR(IF(EDATE(I22,12)&lt;=$C$4,EDATE(I22,12),""),"")</f>
        <v>44503</v>
      </c>
      <c r="J23" s="43">
        <f t="shared" ref="J23:J55" si="19">IF(I23&lt;=$C$4,J22+YEARFRAC(I22,I23,1)*365,"")</f>
        <v>1085</v>
      </c>
      <c r="K23" s="44">
        <f t="shared" si="5"/>
        <v>5653.6679400000003</v>
      </c>
      <c r="L23" s="44">
        <f t="shared" si="6"/>
        <v>0</v>
      </c>
      <c r="M23" s="44">
        <f t="shared" si="7"/>
        <v>5653.6679400000003</v>
      </c>
      <c r="N23" s="45">
        <f t="shared" si="8"/>
        <v>0.85094400000000003</v>
      </c>
      <c r="O23" s="46">
        <f t="shared" si="9"/>
        <v>4810.95481153536</v>
      </c>
      <c r="P23" s="48">
        <f>+O23/$C$10</f>
        <v>4.6776099900821391E-2</v>
      </c>
      <c r="Q23" s="42">
        <f t="shared" si="10"/>
        <v>44237</v>
      </c>
      <c r="R23" s="43">
        <f t="shared" ref="R23:R55" si="20">IF(Q23&lt;=$D$4,R22+YEARFRAC(Q22,Q23,1)*365,"")</f>
        <v>819</v>
      </c>
      <c r="S23" s="44">
        <f t="shared" si="11"/>
        <v>62500</v>
      </c>
      <c r="T23" s="44">
        <f t="shared" ref="T23:T55" si="21">IF(Q23&lt;$D$4,0,IF(Q23=$D$4,$D$7,""))</f>
        <v>0</v>
      </c>
      <c r="U23" s="44">
        <f t="shared" si="12"/>
        <v>62500</v>
      </c>
      <c r="V23" s="45">
        <f t="shared" si="13"/>
        <v>0.86914000000000002</v>
      </c>
      <c r="W23" s="46">
        <f t="shared" si="14"/>
        <v>54321.25</v>
      </c>
      <c r="X23" s="48">
        <f t="shared" si="15"/>
        <v>5.238917646389394E-2</v>
      </c>
    </row>
    <row r="24" spans="1:24" x14ac:dyDescent="0.25">
      <c r="A24" s="42">
        <f t="shared" si="16"/>
        <v>44713</v>
      </c>
      <c r="B24" s="43">
        <f t="shared" si="17"/>
        <v>1295</v>
      </c>
      <c r="C24" s="44">
        <f t="shared" si="3"/>
        <v>7112.8400000000011</v>
      </c>
      <c r="D24" s="44">
        <f t="shared" ref="D24:D33" si="22">IF(A24&lt;$B$4,0,IF(A24=$B$4,$B$7,""))</f>
        <v>0</v>
      </c>
      <c r="E24" s="44">
        <f t="shared" si="4"/>
        <v>7112.8400000000011</v>
      </c>
      <c r="F24" s="45">
        <f t="shared" si="2"/>
        <v>0.82421699999999998</v>
      </c>
      <c r="G24" s="46">
        <f t="shared" ref="G24:G33" si="23">IF(B24&lt;&gt;"",F24*E24,"")</f>
        <v>5862.5236462800003</v>
      </c>
      <c r="I24" s="42">
        <f t="shared" si="18"/>
        <v>44868</v>
      </c>
      <c r="J24" s="43">
        <f>IF(I24&lt;=$C$4,J23+YEARFRAC(I23,I24,1)*365,"")</f>
        <v>1450</v>
      </c>
      <c r="K24" s="44">
        <f t="shared" si="5"/>
        <v>5653.6679400000003</v>
      </c>
      <c r="L24" s="44">
        <f t="shared" si="6"/>
        <v>0</v>
      </c>
      <c r="M24" s="44">
        <f t="shared" si="7"/>
        <v>5653.6679400000003</v>
      </c>
      <c r="N24" s="45">
        <f t="shared" si="8"/>
        <v>0.80597099999999999</v>
      </c>
      <c r="O24" s="46">
        <f>IF(J24&lt;&gt;"",N24*M24,"")</f>
        <v>4556.6924032697398</v>
      </c>
      <c r="P24" s="48">
        <f>+O24/$C$10</f>
        <v>4.4303949511560005E-2</v>
      </c>
      <c r="Q24" s="42">
        <f t="shared" si="10"/>
        <v>44602</v>
      </c>
      <c r="R24" s="43">
        <f>IF(Q24&lt;=$D$4,R23+YEARFRAC(Q23,Q24,1)*365,"")</f>
        <v>1184</v>
      </c>
      <c r="S24" s="44">
        <f t="shared" si="11"/>
        <v>62500</v>
      </c>
      <c r="T24" s="44">
        <f t="shared" si="21"/>
        <v>0</v>
      </c>
      <c r="U24" s="44">
        <f t="shared" si="12"/>
        <v>62500</v>
      </c>
      <c r="V24" s="45">
        <f t="shared" si="13"/>
        <v>0.81647700000000001</v>
      </c>
      <c r="W24" s="46">
        <f t="shared" si="14"/>
        <v>51029.8125</v>
      </c>
      <c r="X24" s="48">
        <f t="shared" si="15"/>
        <v>4.9214807317245472E-2</v>
      </c>
    </row>
    <row r="25" spans="1:24" x14ac:dyDescent="0.25">
      <c r="A25" s="42">
        <f t="shared" si="16"/>
        <v>45078</v>
      </c>
      <c r="B25" s="43">
        <f t="shared" si="17"/>
        <v>1660</v>
      </c>
      <c r="C25" s="44">
        <f>IF(A25&lt;=$B$4,$B$7*$B$8,"")</f>
        <v>7112.8400000000011</v>
      </c>
      <c r="D25" s="44">
        <f>IF(A25&lt;$B$4,0,IF(A25=$B$4,$B$7,""))</f>
        <v>101612</v>
      </c>
      <c r="E25" s="44">
        <f t="shared" si="4"/>
        <v>108724.84</v>
      </c>
      <c r="F25" s="45">
        <f t="shared" si="2"/>
        <v>0.78050900000000001</v>
      </c>
      <c r="G25" s="46">
        <f t="shared" si="23"/>
        <v>84860.716143559999</v>
      </c>
      <c r="I25" s="42">
        <f t="shared" si="18"/>
        <v>45233</v>
      </c>
      <c r="J25" s="43">
        <f t="shared" si="19"/>
        <v>1815</v>
      </c>
      <c r="K25" s="44">
        <f t="shared" si="5"/>
        <v>5653.6679400000003</v>
      </c>
      <c r="L25" s="44">
        <f t="shared" si="6"/>
        <v>0</v>
      </c>
      <c r="M25" s="44">
        <f t="shared" si="7"/>
        <v>5653.6679400000003</v>
      </c>
      <c r="N25" s="45">
        <f t="shared" si="8"/>
        <v>0.76337500000000003</v>
      </c>
      <c r="O25" s="46">
        <f t="shared" si="9"/>
        <v>4315.8687636975001</v>
      </c>
      <c r="Q25" s="42">
        <f t="shared" si="10"/>
        <v>44967</v>
      </c>
      <c r="R25" s="43">
        <f>IF(Q25&lt;=$D$4,R24+YEARFRAC(Q24,Q25,1)*365,"")</f>
        <v>1549</v>
      </c>
      <c r="S25" s="44">
        <f t="shared" si="11"/>
        <v>62500</v>
      </c>
      <c r="T25" s="44">
        <f t="shared" si="21"/>
        <v>0</v>
      </c>
      <c r="U25" s="44">
        <f t="shared" si="12"/>
        <v>62500</v>
      </c>
      <c r="V25" s="45">
        <f t="shared" si="13"/>
        <v>0.76700500000000005</v>
      </c>
      <c r="W25" s="46">
        <f t="shared" si="14"/>
        <v>47937.8125</v>
      </c>
      <c r="X25" s="48">
        <f t="shared" si="15"/>
        <v>4.6232782168222575E-2</v>
      </c>
    </row>
    <row r="26" spans="1:24" x14ac:dyDescent="0.25">
      <c r="A26" s="42" t="str">
        <f t="shared" si="16"/>
        <v/>
      </c>
      <c r="B26" s="43" t="str">
        <f t="shared" si="17"/>
        <v/>
      </c>
      <c r="C26" s="44" t="str">
        <f t="shared" si="3"/>
        <v/>
      </c>
      <c r="D26" s="44" t="str">
        <f t="shared" si="22"/>
        <v/>
      </c>
      <c r="E26" s="44" t="str">
        <f t="shared" si="4"/>
        <v/>
      </c>
      <c r="F26" s="45" t="str">
        <f t="shared" si="2"/>
        <v/>
      </c>
      <c r="G26" s="46" t="str">
        <f t="shared" si="23"/>
        <v/>
      </c>
      <c r="I26" s="42">
        <f t="shared" si="18"/>
        <v>45599</v>
      </c>
      <c r="J26" s="43">
        <f t="shared" si="19"/>
        <v>2180</v>
      </c>
      <c r="K26" s="44">
        <f t="shared" si="5"/>
        <v>5653.6679400000003</v>
      </c>
      <c r="L26" s="44">
        <f t="shared" si="6"/>
        <v>0</v>
      </c>
      <c r="M26" s="44">
        <f t="shared" si="7"/>
        <v>5653.6679400000003</v>
      </c>
      <c r="N26" s="45">
        <f t="shared" si="8"/>
        <v>0.72302999999999995</v>
      </c>
      <c r="O26" s="46">
        <f t="shared" si="9"/>
        <v>4087.7715306581999</v>
      </c>
      <c r="P26" s="49"/>
      <c r="Q26" s="42">
        <f t="shared" si="10"/>
        <v>45332</v>
      </c>
      <c r="R26" s="43">
        <f t="shared" si="20"/>
        <v>1914</v>
      </c>
      <c r="S26" s="44">
        <f t="shared" si="11"/>
        <v>62500</v>
      </c>
      <c r="T26" s="44">
        <f t="shared" si="21"/>
        <v>0</v>
      </c>
      <c r="U26" s="44">
        <f t="shared" si="12"/>
        <v>62500</v>
      </c>
      <c r="V26" s="45">
        <f t="shared" si="13"/>
        <v>0.72053100000000003</v>
      </c>
      <c r="W26" s="46">
        <f t="shared" si="14"/>
        <v>45033.1875</v>
      </c>
      <c r="X26" s="48">
        <f t="shared" si="15"/>
        <v>4.343146755034398E-2</v>
      </c>
    </row>
    <row r="27" spans="1:24" x14ac:dyDescent="0.25">
      <c r="A27" s="42" t="str">
        <f t="shared" si="16"/>
        <v/>
      </c>
      <c r="B27" s="43" t="str">
        <f t="shared" si="17"/>
        <v/>
      </c>
      <c r="C27" s="44" t="str">
        <f t="shared" si="3"/>
        <v/>
      </c>
      <c r="D27" s="44" t="str">
        <f t="shared" si="22"/>
        <v/>
      </c>
      <c r="E27" s="44" t="str">
        <f t="shared" si="4"/>
        <v/>
      </c>
      <c r="F27" s="45" t="str">
        <f t="shared" si="2"/>
        <v/>
      </c>
      <c r="G27" s="46" t="str">
        <f t="shared" si="23"/>
        <v/>
      </c>
      <c r="I27" s="42">
        <f t="shared" si="18"/>
        <v>45964</v>
      </c>
      <c r="J27" s="43">
        <f t="shared" si="19"/>
        <v>2545</v>
      </c>
      <c r="K27" s="44">
        <f t="shared" si="5"/>
        <v>5653.6679400000003</v>
      </c>
      <c r="L27" s="44">
        <f t="shared" si="6"/>
        <v>0</v>
      </c>
      <c r="M27" s="44">
        <f t="shared" si="7"/>
        <v>5653.6679400000003</v>
      </c>
      <c r="N27" s="45">
        <f t="shared" si="8"/>
        <v>0.68481700000000001</v>
      </c>
      <c r="O27" s="46">
        <f t="shared" si="9"/>
        <v>3871.7279176669804</v>
      </c>
      <c r="Q27" s="42">
        <f t="shared" si="10"/>
        <v>45698</v>
      </c>
      <c r="R27" s="43">
        <f t="shared" si="20"/>
        <v>2279</v>
      </c>
      <c r="S27" s="44">
        <f t="shared" si="11"/>
        <v>62500</v>
      </c>
      <c r="T27" s="44">
        <f t="shared" si="21"/>
        <v>1000000</v>
      </c>
      <c r="U27" s="44">
        <f t="shared" si="12"/>
        <v>1062500</v>
      </c>
      <c r="V27" s="45">
        <f t="shared" si="13"/>
        <v>0.67687299999999995</v>
      </c>
      <c r="W27" s="46">
        <f t="shared" si="14"/>
        <v>719177.5625</v>
      </c>
      <c r="X27" s="48">
        <f t="shared" si="15"/>
        <v>0.6935981817554937</v>
      </c>
    </row>
    <row r="28" spans="1:24" x14ac:dyDescent="0.25">
      <c r="A28" s="42" t="str">
        <f t="shared" si="16"/>
        <v/>
      </c>
      <c r="B28" s="43" t="str">
        <f t="shared" si="17"/>
        <v/>
      </c>
      <c r="C28" s="44" t="str">
        <f t="shared" si="3"/>
        <v/>
      </c>
      <c r="D28" s="44" t="str">
        <f t="shared" si="22"/>
        <v/>
      </c>
      <c r="E28" s="44" t="str">
        <f t="shared" si="4"/>
        <v/>
      </c>
      <c r="F28" s="45" t="str">
        <f t="shared" si="2"/>
        <v/>
      </c>
      <c r="G28" s="46" t="str">
        <f t="shared" si="23"/>
        <v/>
      </c>
      <c r="I28" s="42">
        <f t="shared" si="18"/>
        <v>46329</v>
      </c>
      <c r="J28" s="43">
        <f t="shared" si="19"/>
        <v>2910</v>
      </c>
      <c r="K28" s="44">
        <f t="shared" si="5"/>
        <v>5653.6679400000003</v>
      </c>
      <c r="L28" s="44">
        <f t="shared" si="6"/>
        <v>0</v>
      </c>
      <c r="M28" s="44">
        <f t="shared" si="7"/>
        <v>5653.6679400000003</v>
      </c>
      <c r="N28" s="45">
        <f t="shared" si="8"/>
        <v>0.64862399999999998</v>
      </c>
      <c r="O28" s="46">
        <f t="shared" si="9"/>
        <v>3667.1047139145599</v>
      </c>
      <c r="Q28" s="42" t="str">
        <f t="shared" si="10"/>
        <v/>
      </c>
      <c r="R28" s="43" t="str">
        <f t="shared" si="20"/>
        <v/>
      </c>
      <c r="S28" s="44" t="str">
        <f t="shared" si="11"/>
        <v/>
      </c>
      <c r="T28" s="44" t="str">
        <f t="shared" si="21"/>
        <v/>
      </c>
      <c r="U28" s="44" t="str">
        <f t="shared" si="12"/>
        <v/>
      </c>
      <c r="V28" s="45" t="str">
        <f t="shared" si="13"/>
        <v/>
      </c>
      <c r="W28" s="46" t="str">
        <f t="shared" si="14"/>
        <v/>
      </c>
      <c r="X28" s="48"/>
    </row>
    <row r="29" spans="1:24" x14ac:dyDescent="0.25">
      <c r="A29" s="42" t="str">
        <f t="shared" si="16"/>
        <v/>
      </c>
      <c r="B29" s="43" t="str">
        <f t="shared" si="17"/>
        <v/>
      </c>
      <c r="C29" s="44" t="str">
        <f t="shared" si="3"/>
        <v/>
      </c>
      <c r="D29" s="44" t="str">
        <f t="shared" si="22"/>
        <v/>
      </c>
      <c r="E29" s="44" t="str">
        <f t="shared" si="4"/>
        <v/>
      </c>
      <c r="F29" s="45" t="str">
        <f t="shared" si="2"/>
        <v/>
      </c>
      <c r="G29" s="46" t="str">
        <f t="shared" si="23"/>
        <v/>
      </c>
      <c r="H29" s="16"/>
      <c r="I29" s="42">
        <f t="shared" si="18"/>
        <v>46694</v>
      </c>
      <c r="J29" s="43">
        <f t="shared" si="19"/>
        <v>3275</v>
      </c>
      <c r="K29" s="44">
        <f t="shared" si="5"/>
        <v>5653.6679400000003</v>
      </c>
      <c r="L29" s="44">
        <f t="shared" si="6"/>
        <v>103566</v>
      </c>
      <c r="M29" s="44">
        <f t="shared" si="7"/>
        <v>109219.66794</v>
      </c>
      <c r="N29" s="45">
        <f t="shared" si="8"/>
        <v>0.61434299999999997</v>
      </c>
      <c r="O29" s="46">
        <f t="shared" si="9"/>
        <v>67098.338461263411</v>
      </c>
      <c r="Q29" s="42" t="str">
        <f t="shared" si="10"/>
        <v/>
      </c>
      <c r="R29" s="43" t="str">
        <f t="shared" si="20"/>
        <v/>
      </c>
      <c r="S29" s="44" t="str">
        <f t="shared" si="11"/>
        <v/>
      </c>
      <c r="T29" s="44" t="str">
        <f t="shared" si="21"/>
        <v/>
      </c>
      <c r="U29" s="44" t="str">
        <f t="shared" si="12"/>
        <v/>
      </c>
      <c r="V29" s="45" t="str">
        <f t="shared" si="13"/>
        <v/>
      </c>
      <c r="W29" s="46" t="str">
        <f t="shared" si="14"/>
        <v/>
      </c>
      <c r="X29" s="48"/>
    </row>
    <row r="30" spans="1:24" x14ac:dyDescent="0.25">
      <c r="A30" s="42" t="str">
        <f t="shared" si="16"/>
        <v/>
      </c>
      <c r="B30" s="43" t="str">
        <f t="shared" si="17"/>
        <v/>
      </c>
      <c r="C30" s="44" t="str">
        <f t="shared" si="3"/>
        <v/>
      </c>
      <c r="D30" s="44" t="str">
        <f t="shared" si="22"/>
        <v/>
      </c>
      <c r="E30" s="44" t="str">
        <f t="shared" si="4"/>
        <v/>
      </c>
      <c r="F30" s="45" t="str">
        <f t="shared" si="2"/>
        <v/>
      </c>
      <c r="G30" s="46" t="str">
        <f t="shared" si="23"/>
        <v/>
      </c>
      <c r="I30" s="42" t="str">
        <f t="shared" si="18"/>
        <v/>
      </c>
      <c r="J30" s="43" t="str">
        <f t="shared" si="19"/>
        <v/>
      </c>
      <c r="K30" s="44" t="str">
        <f t="shared" si="5"/>
        <v/>
      </c>
      <c r="L30" s="44" t="str">
        <f t="shared" si="6"/>
        <v/>
      </c>
      <c r="M30" s="44" t="str">
        <f t="shared" si="7"/>
        <v/>
      </c>
      <c r="N30" s="45" t="str">
        <f t="shared" si="8"/>
        <v/>
      </c>
      <c r="O30" s="46" t="str">
        <f t="shared" si="9"/>
        <v/>
      </c>
      <c r="Q30" s="42" t="str">
        <f t="shared" si="10"/>
        <v/>
      </c>
      <c r="R30" s="43" t="str">
        <f t="shared" si="20"/>
        <v/>
      </c>
      <c r="S30" s="44" t="str">
        <f t="shared" si="11"/>
        <v/>
      </c>
      <c r="T30" s="44" t="str">
        <f t="shared" si="21"/>
        <v/>
      </c>
      <c r="U30" s="44" t="str">
        <f t="shared" si="12"/>
        <v/>
      </c>
      <c r="V30" s="45" t="str">
        <f t="shared" si="13"/>
        <v/>
      </c>
      <c r="W30" s="46" t="str">
        <f t="shared" si="14"/>
        <v/>
      </c>
      <c r="X30" s="48"/>
    </row>
    <row r="31" spans="1:24" x14ac:dyDescent="0.25">
      <c r="A31" s="42" t="str">
        <f t="shared" si="16"/>
        <v/>
      </c>
      <c r="B31" s="43" t="str">
        <f t="shared" si="17"/>
        <v/>
      </c>
      <c r="C31" s="44" t="str">
        <f t="shared" si="3"/>
        <v/>
      </c>
      <c r="D31" s="44" t="str">
        <f t="shared" si="22"/>
        <v/>
      </c>
      <c r="E31" s="44" t="str">
        <f t="shared" si="4"/>
        <v/>
      </c>
      <c r="F31" s="45" t="str">
        <f t="shared" si="2"/>
        <v/>
      </c>
      <c r="G31" s="46" t="str">
        <f t="shared" si="23"/>
        <v/>
      </c>
      <c r="I31" s="42" t="str">
        <f t="shared" si="18"/>
        <v/>
      </c>
      <c r="J31" s="43" t="str">
        <f t="shared" si="19"/>
        <v/>
      </c>
      <c r="K31" s="44" t="str">
        <f t="shared" si="5"/>
        <v/>
      </c>
      <c r="L31" s="44" t="str">
        <f t="shared" si="6"/>
        <v/>
      </c>
      <c r="M31" s="44" t="str">
        <f t="shared" si="7"/>
        <v/>
      </c>
      <c r="N31" s="45" t="str">
        <f t="shared" si="8"/>
        <v/>
      </c>
      <c r="O31" s="46" t="str">
        <f t="shared" si="9"/>
        <v/>
      </c>
      <c r="Q31" s="42" t="str">
        <f t="shared" si="10"/>
        <v/>
      </c>
      <c r="R31" s="43" t="str">
        <f t="shared" si="20"/>
        <v/>
      </c>
      <c r="S31" s="44" t="str">
        <f t="shared" si="11"/>
        <v/>
      </c>
      <c r="T31" s="44" t="str">
        <f t="shared" si="21"/>
        <v/>
      </c>
      <c r="U31" s="44" t="str">
        <f t="shared" si="12"/>
        <v/>
      </c>
      <c r="V31" s="45" t="str">
        <f t="shared" si="13"/>
        <v/>
      </c>
      <c r="W31" s="46" t="str">
        <f t="shared" si="14"/>
        <v/>
      </c>
      <c r="X31" s="48"/>
    </row>
    <row r="32" spans="1:24" x14ac:dyDescent="0.25">
      <c r="A32" s="42" t="str">
        <f t="shared" si="16"/>
        <v/>
      </c>
      <c r="B32" s="43" t="str">
        <f t="shared" si="17"/>
        <v/>
      </c>
      <c r="C32" s="44" t="str">
        <f t="shared" si="3"/>
        <v/>
      </c>
      <c r="D32" s="44" t="str">
        <f t="shared" si="22"/>
        <v/>
      </c>
      <c r="E32" s="44" t="str">
        <f t="shared" si="4"/>
        <v/>
      </c>
      <c r="F32" s="45" t="str">
        <f t="shared" si="2"/>
        <v/>
      </c>
      <c r="G32" s="46" t="str">
        <f t="shared" si="23"/>
        <v/>
      </c>
      <c r="I32" s="42" t="str">
        <f t="shared" si="18"/>
        <v/>
      </c>
      <c r="J32" s="43" t="str">
        <f t="shared" si="19"/>
        <v/>
      </c>
      <c r="K32" s="44" t="str">
        <f t="shared" si="5"/>
        <v/>
      </c>
      <c r="L32" s="44" t="str">
        <f t="shared" si="6"/>
        <v/>
      </c>
      <c r="M32" s="44" t="str">
        <f t="shared" si="7"/>
        <v/>
      </c>
      <c r="N32" s="45" t="str">
        <f t="shared" si="8"/>
        <v/>
      </c>
      <c r="O32" s="46" t="str">
        <f t="shared" si="9"/>
        <v/>
      </c>
      <c r="Q32" s="42" t="str">
        <f t="shared" si="10"/>
        <v/>
      </c>
      <c r="R32" s="43" t="str">
        <f>IF(Q32&lt;=$D$4,R31+YEARFRAC(Q31,Q32,1)*365,"")</f>
        <v/>
      </c>
      <c r="S32" s="44" t="str">
        <f t="shared" si="11"/>
        <v/>
      </c>
      <c r="T32" s="44" t="str">
        <f t="shared" si="21"/>
        <v/>
      </c>
      <c r="U32" s="44" t="str">
        <f t="shared" si="12"/>
        <v/>
      </c>
      <c r="V32" s="45" t="str">
        <f t="shared" si="13"/>
        <v/>
      </c>
      <c r="W32" s="46" t="str">
        <f t="shared" si="14"/>
        <v/>
      </c>
      <c r="X32" s="48"/>
    </row>
    <row r="33" spans="1:24" x14ac:dyDescent="0.25">
      <c r="A33" s="42" t="str">
        <f t="shared" si="16"/>
        <v/>
      </c>
      <c r="B33" s="43" t="str">
        <f t="shared" si="17"/>
        <v/>
      </c>
      <c r="C33" s="44" t="str">
        <f t="shared" si="3"/>
        <v/>
      </c>
      <c r="D33" s="44" t="str">
        <f t="shared" si="22"/>
        <v/>
      </c>
      <c r="E33" s="44" t="str">
        <f t="shared" si="4"/>
        <v/>
      </c>
      <c r="F33" s="45" t="str">
        <f t="shared" si="2"/>
        <v/>
      </c>
      <c r="G33" s="46" t="str">
        <f t="shared" si="23"/>
        <v/>
      </c>
      <c r="I33" s="42" t="str">
        <f t="shared" si="18"/>
        <v/>
      </c>
      <c r="J33" s="43" t="str">
        <f t="shared" si="19"/>
        <v/>
      </c>
      <c r="K33" s="44" t="str">
        <f t="shared" si="5"/>
        <v/>
      </c>
      <c r="L33" s="44" t="str">
        <f t="shared" si="6"/>
        <v/>
      </c>
      <c r="M33" s="44" t="str">
        <f t="shared" si="7"/>
        <v/>
      </c>
      <c r="N33" s="45" t="str">
        <f t="shared" si="8"/>
        <v/>
      </c>
      <c r="O33" s="46" t="str">
        <f t="shared" si="9"/>
        <v/>
      </c>
      <c r="Q33" s="42" t="str">
        <f t="shared" si="10"/>
        <v/>
      </c>
      <c r="R33" s="43" t="str">
        <f>IF(Q33&lt;=$D$4,R32+YEARFRAC(Q32,Q33,1)*365,"")</f>
        <v/>
      </c>
      <c r="S33" s="44" t="str">
        <f t="shared" si="11"/>
        <v/>
      </c>
      <c r="T33" s="44" t="str">
        <f t="shared" si="21"/>
        <v/>
      </c>
      <c r="U33" s="44" t="str">
        <f t="shared" si="12"/>
        <v/>
      </c>
      <c r="V33" s="45" t="str">
        <f t="shared" si="13"/>
        <v/>
      </c>
      <c r="W33" s="46" t="str">
        <f t="shared" si="14"/>
        <v/>
      </c>
      <c r="X33" s="48"/>
    </row>
    <row r="34" spans="1:24" x14ac:dyDescent="0.25">
      <c r="A34" s="42" t="str">
        <f t="shared" si="16"/>
        <v/>
      </c>
      <c r="B34" s="43" t="str">
        <f>IF(A34&lt;=$B$4,B33+YEARFRAC(A33,A34,1)*365,"")</f>
        <v/>
      </c>
      <c r="C34" s="44" t="str">
        <f>IF(A34&lt;=$B$4,$B$7*$B$8,"")</f>
        <v/>
      </c>
      <c r="D34" s="44" t="str">
        <f>IF(A34&lt;$B$4,0,IF(A34=$B$4,$B$7,""))</f>
        <v/>
      </c>
      <c r="E34" s="44" t="str">
        <f>IFERROR(C34+D34,"")</f>
        <v/>
      </c>
      <c r="F34" s="45" t="str">
        <f t="shared" si="2"/>
        <v/>
      </c>
      <c r="G34" s="46" t="str">
        <f>IF(B34&lt;&gt;"",F34*E34,"")</f>
        <v/>
      </c>
      <c r="I34" s="42" t="str">
        <f t="shared" si="18"/>
        <v/>
      </c>
      <c r="J34" s="43" t="str">
        <f t="shared" si="19"/>
        <v/>
      </c>
      <c r="K34" s="44" t="str">
        <f t="shared" si="5"/>
        <v/>
      </c>
      <c r="L34" s="44" t="str">
        <f t="shared" si="6"/>
        <v/>
      </c>
      <c r="M34" s="44" t="str">
        <f t="shared" si="7"/>
        <v/>
      </c>
      <c r="N34" s="45" t="str">
        <f t="shared" si="8"/>
        <v/>
      </c>
      <c r="O34" s="46" t="str">
        <f t="shared" si="9"/>
        <v/>
      </c>
      <c r="Q34" s="42" t="str">
        <f t="shared" si="10"/>
        <v/>
      </c>
      <c r="R34" s="43" t="str">
        <f t="shared" si="20"/>
        <v/>
      </c>
      <c r="S34" s="44" t="str">
        <f t="shared" si="11"/>
        <v/>
      </c>
      <c r="T34" s="44" t="str">
        <f t="shared" si="21"/>
        <v/>
      </c>
      <c r="U34" s="44" t="str">
        <f t="shared" si="12"/>
        <v/>
      </c>
      <c r="V34" s="45" t="str">
        <f t="shared" si="13"/>
        <v/>
      </c>
      <c r="W34" s="46" t="str">
        <f t="shared" si="14"/>
        <v/>
      </c>
      <c r="X34" s="48"/>
    </row>
    <row r="35" spans="1:24" x14ac:dyDescent="0.25">
      <c r="A35" s="42" t="str">
        <f t="shared" si="16"/>
        <v/>
      </c>
      <c r="B35" s="43" t="str">
        <f>IF(A35&lt;=$B$4,B34+YEARFRAC(A34,A35,1)*365,"")</f>
        <v/>
      </c>
      <c r="C35" s="44" t="str">
        <f>IF(A35&lt;=$B$4,$B$7*$B$8,"")</f>
        <v/>
      </c>
      <c r="D35" s="44" t="str">
        <f>IF(A35&lt;$B$4,0,IF(A35=$B$4,$B$7,""))</f>
        <v/>
      </c>
      <c r="E35" s="44" t="str">
        <f>IFERROR(C35+D35,"")</f>
        <v/>
      </c>
      <c r="F35" s="45" t="str">
        <f t="shared" si="2"/>
        <v/>
      </c>
      <c r="G35" s="46" t="str">
        <f>IF(B35&lt;&gt;"",F35*E35,"")</f>
        <v/>
      </c>
      <c r="I35" s="42" t="str">
        <f t="shared" si="18"/>
        <v/>
      </c>
      <c r="J35" s="43" t="str">
        <f t="shared" si="19"/>
        <v/>
      </c>
      <c r="K35" s="44" t="str">
        <f t="shared" si="5"/>
        <v/>
      </c>
      <c r="L35" s="44" t="str">
        <f t="shared" si="6"/>
        <v/>
      </c>
      <c r="M35" s="44" t="str">
        <f t="shared" si="7"/>
        <v/>
      </c>
      <c r="N35" s="45" t="str">
        <f t="shared" si="8"/>
        <v/>
      </c>
      <c r="O35" s="46" t="str">
        <f t="shared" si="9"/>
        <v/>
      </c>
      <c r="Q35" s="42" t="str">
        <f t="shared" si="10"/>
        <v/>
      </c>
      <c r="R35" s="43" t="str">
        <f t="shared" si="20"/>
        <v/>
      </c>
      <c r="S35" s="44" t="str">
        <f t="shared" si="11"/>
        <v/>
      </c>
      <c r="T35" s="44" t="str">
        <f t="shared" si="21"/>
        <v/>
      </c>
      <c r="U35" s="44" t="str">
        <f t="shared" si="12"/>
        <v/>
      </c>
      <c r="V35" s="45" t="str">
        <f t="shared" si="13"/>
        <v/>
      </c>
      <c r="W35" s="46" t="str">
        <f t="shared" si="14"/>
        <v/>
      </c>
      <c r="X35" s="48"/>
    </row>
    <row r="36" spans="1:24" x14ac:dyDescent="0.25">
      <c r="A36" s="42" t="str">
        <f t="shared" si="16"/>
        <v/>
      </c>
      <c r="B36" s="43" t="str">
        <f t="shared" ref="B36:B55" si="24">IF(A36&lt;=$B$4,B35+YEARFRAC(A35,A36,1)*365,"")</f>
        <v/>
      </c>
      <c r="C36" s="44" t="str">
        <f t="shared" ref="C36:C55" si="25">IF(A36&lt;=$B$4,$B$7*$B$8,"")</f>
        <v/>
      </c>
      <c r="D36" s="44" t="str">
        <f t="shared" ref="D36:D55" si="26">IF(A36&lt;$B$4,0,IF(A36=$B$4,$B$7,""))</f>
        <v/>
      </c>
      <c r="E36" s="44" t="str">
        <f t="shared" ref="E36:E55" si="27">IFERROR(C36+D36,"")</f>
        <v/>
      </c>
      <c r="F36" s="45" t="str">
        <f t="shared" si="2"/>
        <v/>
      </c>
      <c r="G36" s="46" t="str">
        <f t="shared" ref="G36:G55" si="28">IF(B36&lt;&gt;"",F36*E36,"")</f>
        <v/>
      </c>
      <c r="I36" s="42" t="str">
        <f t="shared" si="18"/>
        <v/>
      </c>
      <c r="J36" s="43" t="str">
        <f t="shared" si="19"/>
        <v/>
      </c>
      <c r="K36" s="44" t="str">
        <f t="shared" si="5"/>
        <v/>
      </c>
      <c r="L36" s="44" t="str">
        <f t="shared" si="6"/>
        <v/>
      </c>
      <c r="M36" s="44" t="str">
        <f t="shared" si="7"/>
        <v/>
      </c>
      <c r="N36" s="45" t="str">
        <f t="shared" si="8"/>
        <v/>
      </c>
      <c r="O36" s="46" t="str">
        <f t="shared" si="9"/>
        <v/>
      </c>
      <c r="Q36" s="42" t="str">
        <f t="shared" si="10"/>
        <v/>
      </c>
      <c r="R36" s="43" t="str">
        <f t="shared" si="20"/>
        <v/>
      </c>
      <c r="S36" s="44" t="str">
        <f t="shared" si="11"/>
        <v/>
      </c>
      <c r="T36" s="44" t="str">
        <f t="shared" si="21"/>
        <v/>
      </c>
      <c r="U36" s="44" t="str">
        <f t="shared" si="12"/>
        <v/>
      </c>
      <c r="V36" s="45" t="str">
        <f t="shared" si="13"/>
        <v/>
      </c>
      <c r="W36" s="46" t="str">
        <f>IF(R36&lt;&gt;"",V36*U36,"")</f>
        <v/>
      </c>
      <c r="X36" s="48"/>
    </row>
    <row r="37" spans="1:24" x14ac:dyDescent="0.25">
      <c r="A37" s="42" t="str">
        <f t="shared" si="16"/>
        <v/>
      </c>
      <c r="B37" s="43" t="str">
        <f t="shared" si="24"/>
        <v/>
      </c>
      <c r="C37" s="44" t="str">
        <f t="shared" si="25"/>
        <v/>
      </c>
      <c r="D37" s="44" t="str">
        <f t="shared" si="26"/>
        <v/>
      </c>
      <c r="E37" s="44" t="str">
        <f t="shared" si="27"/>
        <v/>
      </c>
      <c r="F37" s="45" t="str">
        <f t="shared" si="2"/>
        <v/>
      </c>
      <c r="G37" s="46" t="str">
        <f t="shared" si="28"/>
        <v/>
      </c>
      <c r="I37" s="42" t="str">
        <f t="shared" si="18"/>
        <v/>
      </c>
      <c r="J37" s="43" t="str">
        <f t="shared" si="19"/>
        <v/>
      </c>
      <c r="K37" s="44" t="str">
        <f t="shared" si="5"/>
        <v/>
      </c>
      <c r="L37" s="44" t="str">
        <f t="shared" si="6"/>
        <v/>
      </c>
      <c r="M37" s="44" t="str">
        <f t="shared" si="7"/>
        <v/>
      </c>
      <c r="N37" s="45" t="str">
        <f t="shared" si="8"/>
        <v/>
      </c>
      <c r="O37" s="46" t="str">
        <f t="shared" si="9"/>
        <v/>
      </c>
      <c r="Q37" s="42" t="str">
        <f t="shared" si="10"/>
        <v/>
      </c>
      <c r="R37" s="43" t="str">
        <f t="shared" si="20"/>
        <v/>
      </c>
      <c r="S37" s="44" t="str">
        <f t="shared" si="11"/>
        <v/>
      </c>
      <c r="T37" s="44" t="str">
        <f t="shared" si="21"/>
        <v/>
      </c>
      <c r="U37" s="44" t="str">
        <f t="shared" si="12"/>
        <v/>
      </c>
      <c r="V37" s="45" t="str">
        <f t="shared" si="13"/>
        <v/>
      </c>
      <c r="W37" s="46" t="str">
        <f t="shared" si="14"/>
        <v/>
      </c>
    </row>
    <row r="38" spans="1:24" x14ac:dyDescent="0.25">
      <c r="A38" s="42" t="str">
        <f t="shared" si="16"/>
        <v/>
      </c>
      <c r="B38" s="43" t="str">
        <f t="shared" si="24"/>
        <v/>
      </c>
      <c r="C38" s="44" t="str">
        <f t="shared" si="25"/>
        <v/>
      </c>
      <c r="D38" s="44" t="str">
        <f t="shared" si="26"/>
        <v/>
      </c>
      <c r="E38" s="44" t="str">
        <f t="shared" si="27"/>
        <v/>
      </c>
      <c r="F38" s="45" t="str">
        <f t="shared" si="2"/>
        <v/>
      </c>
      <c r="G38" s="46" t="str">
        <f t="shared" si="28"/>
        <v/>
      </c>
      <c r="I38" s="42" t="str">
        <f t="shared" si="18"/>
        <v/>
      </c>
      <c r="J38" s="43" t="str">
        <f t="shared" si="19"/>
        <v/>
      </c>
      <c r="K38" s="44" t="str">
        <f t="shared" si="5"/>
        <v/>
      </c>
      <c r="L38" s="44" t="str">
        <f t="shared" si="6"/>
        <v/>
      </c>
      <c r="M38" s="44" t="str">
        <f t="shared" si="7"/>
        <v/>
      </c>
      <c r="N38" s="45" t="str">
        <f t="shared" si="8"/>
        <v/>
      </c>
      <c r="O38" s="46" t="str">
        <f t="shared" si="9"/>
        <v/>
      </c>
      <c r="Q38" s="42" t="str">
        <f t="shared" si="10"/>
        <v/>
      </c>
      <c r="R38" s="43" t="str">
        <f t="shared" si="20"/>
        <v/>
      </c>
      <c r="S38" s="44" t="str">
        <f t="shared" si="11"/>
        <v/>
      </c>
      <c r="T38" s="44" t="str">
        <f t="shared" si="21"/>
        <v/>
      </c>
      <c r="U38" s="44" t="str">
        <f t="shared" si="12"/>
        <v/>
      </c>
      <c r="V38" s="45" t="str">
        <f t="shared" si="13"/>
        <v/>
      </c>
      <c r="W38" s="46" t="str">
        <f t="shared" si="14"/>
        <v/>
      </c>
    </row>
    <row r="39" spans="1:24" x14ac:dyDescent="0.25">
      <c r="A39" s="42" t="str">
        <f t="shared" si="16"/>
        <v/>
      </c>
      <c r="B39" s="43" t="str">
        <f t="shared" si="24"/>
        <v/>
      </c>
      <c r="C39" s="44" t="str">
        <f t="shared" si="25"/>
        <v/>
      </c>
      <c r="D39" s="44" t="str">
        <f t="shared" si="26"/>
        <v/>
      </c>
      <c r="E39" s="44" t="str">
        <f t="shared" si="27"/>
        <v/>
      </c>
      <c r="F39" s="45" t="str">
        <f t="shared" si="2"/>
        <v/>
      </c>
      <c r="G39" s="46" t="str">
        <f t="shared" si="28"/>
        <v/>
      </c>
      <c r="I39" s="42" t="str">
        <f t="shared" si="18"/>
        <v/>
      </c>
      <c r="J39" s="43" t="str">
        <f t="shared" si="19"/>
        <v/>
      </c>
      <c r="K39" s="44" t="str">
        <f t="shared" si="5"/>
        <v/>
      </c>
      <c r="L39" s="44" t="str">
        <f t="shared" si="6"/>
        <v/>
      </c>
      <c r="M39" s="44" t="str">
        <f t="shared" si="7"/>
        <v/>
      </c>
      <c r="N39" s="45" t="str">
        <f t="shared" si="8"/>
        <v/>
      </c>
      <c r="O39" s="46" t="str">
        <f t="shared" si="9"/>
        <v/>
      </c>
      <c r="Q39" s="42" t="str">
        <f t="shared" si="10"/>
        <v/>
      </c>
      <c r="R39" s="43" t="str">
        <f t="shared" si="20"/>
        <v/>
      </c>
      <c r="S39" s="44" t="str">
        <f t="shared" si="11"/>
        <v/>
      </c>
      <c r="T39" s="44" t="str">
        <f t="shared" si="21"/>
        <v/>
      </c>
      <c r="U39" s="44" t="str">
        <f t="shared" si="12"/>
        <v/>
      </c>
      <c r="V39" s="45" t="str">
        <f t="shared" si="13"/>
        <v/>
      </c>
      <c r="W39" s="46" t="str">
        <f t="shared" si="14"/>
        <v/>
      </c>
    </row>
    <row r="40" spans="1:24" x14ac:dyDescent="0.25">
      <c r="A40" s="42" t="str">
        <f t="shared" si="16"/>
        <v/>
      </c>
      <c r="B40" s="43" t="str">
        <f t="shared" si="24"/>
        <v/>
      </c>
      <c r="C40" s="44" t="str">
        <f t="shared" si="25"/>
        <v/>
      </c>
      <c r="D40" s="44" t="str">
        <f t="shared" si="26"/>
        <v/>
      </c>
      <c r="E40" s="44" t="str">
        <f t="shared" si="27"/>
        <v/>
      </c>
      <c r="F40" s="45" t="str">
        <f t="shared" si="2"/>
        <v/>
      </c>
      <c r="G40" s="46" t="str">
        <f t="shared" si="28"/>
        <v/>
      </c>
      <c r="I40" s="42" t="str">
        <f t="shared" si="18"/>
        <v/>
      </c>
      <c r="J40" s="43" t="str">
        <f t="shared" si="19"/>
        <v/>
      </c>
      <c r="K40" s="44" t="str">
        <f t="shared" si="5"/>
        <v/>
      </c>
      <c r="L40" s="44" t="str">
        <f t="shared" si="6"/>
        <v/>
      </c>
      <c r="M40" s="44" t="str">
        <f t="shared" si="7"/>
        <v/>
      </c>
      <c r="N40" s="45" t="str">
        <f t="shared" si="8"/>
        <v/>
      </c>
      <c r="O40" s="46" t="str">
        <f t="shared" si="9"/>
        <v/>
      </c>
      <c r="Q40" s="42" t="str">
        <f t="shared" si="10"/>
        <v/>
      </c>
      <c r="R40" s="43" t="str">
        <f t="shared" si="20"/>
        <v/>
      </c>
      <c r="S40" s="44" t="str">
        <f t="shared" si="11"/>
        <v/>
      </c>
      <c r="T40" s="44" t="str">
        <f t="shared" si="21"/>
        <v/>
      </c>
      <c r="U40" s="44" t="str">
        <f t="shared" si="12"/>
        <v/>
      </c>
      <c r="V40" s="45" t="str">
        <f t="shared" si="13"/>
        <v/>
      </c>
      <c r="W40" s="46" t="str">
        <f t="shared" si="14"/>
        <v/>
      </c>
    </row>
    <row r="41" spans="1:24" x14ac:dyDescent="0.25">
      <c r="A41" s="42" t="str">
        <f t="shared" si="16"/>
        <v/>
      </c>
      <c r="B41" s="43" t="str">
        <f t="shared" si="24"/>
        <v/>
      </c>
      <c r="C41" s="44" t="str">
        <f t="shared" si="25"/>
        <v/>
      </c>
      <c r="D41" s="44" t="str">
        <f t="shared" si="26"/>
        <v/>
      </c>
      <c r="E41" s="44" t="str">
        <f t="shared" si="27"/>
        <v/>
      </c>
      <c r="F41" s="45" t="str">
        <f t="shared" si="2"/>
        <v/>
      </c>
      <c r="G41" s="46" t="str">
        <f t="shared" si="28"/>
        <v/>
      </c>
      <c r="I41" s="42" t="str">
        <f t="shared" si="18"/>
        <v/>
      </c>
      <c r="J41" s="43" t="str">
        <f t="shared" si="19"/>
        <v/>
      </c>
      <c r="K41" s="44" t="str">
        <f t="shared" si="5"/>
        <v/>
      </c>
      <c r="L41" s="44" t="str">
        <f t="shared" si="6"/>
        <v/>
      </c>
      <c r="M41" s="44" t="str">
        <f t="shared" si="7"/>
        <v/>
      </c>
      <c r="N41" s="45" t="str">
        <f t="shared" si="8"/>
        <v/>
      </c>
      <c r="O41" s="46" t="str">
        <f t="shared" si="9"/>
        <v/>
      </c>
      <c r="Q41" s="42" t="str">
        <f t="shared" si="10"/>
        <v/>
      </c>
      <c r="R41" s="43" t="str">
        <f t="shared" si="20"/>
        <v/>
      </c>
      <c r="S41" s="44" t="str">
        <f t="shared" si="11"/>
        <v/>
      </c>
      <c r="T41" s="44" t="str">
        <f t="shared" si="21"/>
        <v/>
      </c>
      <c r="U41" s="44" t="str">
        <f t="shared" si="12"/>
        <v/>
      </c>
      <c r="V41" s="45" t="str">
        <f t="shared" si="13"/>
        <v/>
      </c>
      <c r="W41" s="46" t="str">
        <f t="shared" si="14"/>
        <v/>
      </c>
    </row>
    <row r="42" spans="1:24" x14ac:dyDescent="0.25">
      <c r="A42" s="42" t="str">
        <f t="shared" si="16"/>
        <v/>
      </c>
      <c r="B42" s="43" t="str">
        <f t="shared" si="24"/>
        <v/>
      </c>
      <c r="C42" s="44" t="str">
        <f t="shared" si="25"/>
        <v/>
      </c>
      <c r="D42" s="44" t="str">
        <f t="shared" si="26"/>
        <v/>
      </c>
      <c r="E42" s="44" t="str">
        <f t="shared" si="27"/>
        <v/>
      </c>
      <c r="F42" s="45" t="str">
        <f t="shared" si="2"/>
        <v/>
      </c>
      <c r="G42" s="46" t="str">
        <f t="shared" si="28"/>
        <v/>
      </c>
      <c r="I42" s="42" t="str">
        <f t="shared" si="18"/>
        <v/>
      </c>
      <c r="J42" s="43" t="str">
        <f t="shared" si="19"/>
        <v/>
      </c>
      <c r="K42" s="44" t="str">
        <f t="shared" si="5"/>
        <v/>
      </c>
      <c r="L42" s="44" t="str">
        <f t="shared" si="6"/>
        <v/>
      </c>
      <c r="M42" s="44" t="str">
        <f t="shared" si="7"/>
        <v/>
      </c>
      <c r="N42" s="45" t="str">
        <f t="shared" si="8"/>
        <v/>
      </c>
      <c r="O42" s="46" t="str">
        <f t="shared" si="9"/>
        <v/>
      </c>
      <c r="Q42" s="42" t="str">
        <f t="shared" si="10"/>
        <v/>
      </c>
      <c r="R42" s="43" t="str">
        <f t="shared" si="20"/>
        <v/>
      </c>
      <c r="S42" s="44" t="str">
        <f t="shared" si="11"/>
        <v/>
      </c>
      <c r="T42" s="44" t="str">
        <f t="shared" si="21"/>
        <v/>
      </c>
      <c r="U42" s="44" t="str">
        <f t="shared" si="12"/>
        <v/>
      </c>
      <c r="V42" s="45" t="str">
        <f t="shared" si="13"/>
        <v/>
      </c>
      <c r="W42" s="46" t="str">
        <f t="shared" si="14"/>
        <v/>
      </c>
    </row>
    <row r="43" spans="1:24" x14ac:dyDescent="0.25">
      <c r="A43" s="42" t="str">
        <f t="shared" si="16"/>
        <v/>
      </c>
      <c r="B43" s="43" t="str">
        <f t="shared" si="24"/>
        <v/>
      </c>
      <c r="C43" s="44" t="str">
        <f t="shared" si="25"/>
        <v/>
      </c>
      <c r="D43" s="44" t="str">
        <f t="shared" si="26"/>
        <v/>
      </c>
      <c r="E43" s="44" t="str">
        <f t="shared" si="27"/>
        <v/>
      </c>
      <c r="F43" s="45" t="str">
        <f t="shared" si="2"/>
        <v/>
      </c>
      <c r="G43" s="46" t="str">
        <f t="shared" si="28"/>
        <v/>
      </c>
      <c r="I43" s="42" t="str">
        <f t="shared" si="18"/>
        <v/>
      </c>
      <c r="J43" s="43" t="str">
        <f t="shared" si="19"/>
        <v/>
      </c>
      <c r="K43" s="44" t="str">
        <f t="shared" si="5"/>
        <v/>
      </c>
      <c r="L43" s="44" t="str">
        <f t="shared" si="6"/>
        <v/>
      </c>
      <c r="M43" s="44" t="str">
        <f t="shared" si="7"/>
        <v/>
      </c>
      <c r="N43" s="45" t="str">
        <f t="shared" si="8"/>
        <v/>
      </c>
      <c r="O43" s="46" t="str">
        <f t="shared" si="9"/>
        <v/>
      </c>
      <c r="Q43" s="42" t="str">
        <f t="shared" si="10"/>
        <v/>
      </c>
      <c r="R43" s="43" t="str">
        <f t="shared" si="20"/>
        <v/>
      </c>
      <c r="S43" s="44" t="str">
        <f t="shared" si="11"/>
        <v/>
      </c>
      <c r="T43" s="44" t="str">
        <f t="shared" si="21"/>
        <v/>
      </c>
      <c r="U43" s="44" t="str">
        <f t="shared" si="12"/>
        <v/>
      </c>
      <c r="V43" s="45" t="str">
        <f t="shared" si="13"/>
        <v/>
      </c>
      <c r="W43" s="46" t="str">
        <f t="shared" si="14"/>
        <v/>
      </c>
    </row>
    <row r="44" spans="1:24" x14ac:dyDescent="0.25">
      <c r="A44" s="42" t="str">
        <f t="shared" si="16"/>
        <v/>
      </c>
      <c r="B44" s="43" t="str">
        <f t="shared" si="24"/>
        <v/>
      </c>
      <c r="C44" s="44" t="str">
        <f t="shared" si="25"/>
        <v/>
      </c>
      <c r="D44" s="44" t="str">
        <f t="shared" si="26"/>
        <v/>
      </c>
      <c r="E44" s="44" t="str">
        <f t="shared" si="27"/>
        <v/>
      </c>
      <c r="F44" s="45" t="str">
        <f t="shared" si="2"/>
        <v/>
      </c>
      <c r="G44" s="46" t="str">
        <f t="shared" si="28"/>
        <v/>
      </c>
      <c r="I44" s="42" t="str">
        <f t="shared" si="18"/>
        <v/>
      </c>
      <c r="J44" s="43" t="str">
        <f t="shared" si="19"/>
        <v/>
      </c>
      <c r="K44" s="44" t="str">
        <f t="shared" si="5"/>
        <v/>
      </c>
      <c r="L44" s="44" t="str">
        <f t="shared" si="6"/>
        <v/>
      </c>
      <c r="M44" s="44" t="str">
        <f t="shared" si="7"/>
        <v/>
      </c>
      <c r="N44" s="45" t="str">
        <f t="shared" si="8"/>
        <v/>
      </c>
      <c r="O44" s="46" t="str">
        <f t="shared" si="9"/>
        <v/>
      </c>
      <c r="Q44" s="42" t="str">
        <f t="shared" si="10"/>
        <v/>
      </c>
      <c r="R44" s="43" t="str">
        <f t="shared" si="20"/>
        <v/>
      </c>
      <c r="S44" s="44" t="str">
        <f t="shared" si="11"/>
        <v/>
      </c>
      <c r="T44" s="44" t="str">
        <f t="shared" si="21"/>
        <v/>
      </c>
      <c r="U44" s="44" t="str">
        <f t="shared" si="12"/>
        <v/>
      </c>
      <c r="V44" s="45" t="str">
        <f t="shared" si="13"/>
        <v/>
      </c>
      <c r="W44" s="46" t="str">
        <f t="shared" si="14"/>
        <v/>
      </c>
    </row>
    <row r="45" spans="1:24" x14ac:dyDescent="0.25">
      <c r="A45" s="42" t="str">
        <f t="shared" si="16"/>
        <v/>
      </c>
      <c r="B45" s="43" t="str">
        <f t="shared" si="24"/>
        <v/>
      </c>
      <c r="C45" s="44" t="str">
        <f t="shared" si="25"/>
        <v/>
      </c>
      <c r="D45" s="44" t="str">
        <f t="shared" si="26"/>
        <v/>
      </c>
      <c r="E45" s="44" t="str">
        <f t="shared" si="27"/>
        <v/>
      </c>
      <c r="F45" s="45" t="str">
        <f t="shared" si="2"/>
        <v/>
      </c>
      <c r="G45" s="46" t="str">
        <f t="shared" si="28"/>
        <v/>
      </c>
      <c r="I45" s="42" t="str">
        <f t="shared" si="18"/>
        <v/>
      </c>
      <c r="J45" s="43" t="str">
        <f t="shared" si="19"/>
        <v/>
      </c>
      <c r="K45" s="44" t="str">
        <f t="shared" si="5"/>
        <v/>
      </c>
      <c r="L45" s="44" t="str">
        <f t="shared" si="6"/>
        <v/>
      </c>
      <c r="M45" s="44" t="str">
        <f t="shared" si="7"/>
        <v/>
      </c>
      <c r="N45" s="45" t="str">
        <f t="shared" si="8"/>
        <v/>
      </c>
      <c r="O45" s="46" t="str">
        <f t="shared" si="9"/>
        <v/>
      </c>
      <c r="Q45" s="42" t="str">
        <f t="shared" si="10"/>
        <v/>
      </c>
      <c r="R45" s="43" t="str">
        <f t="shared" si="20"/>
        <v/>
      </c>
      <c r="S45" s="44" t="str">
        <f t="shared" si="11"/>
        <v/>
      </c>
      <c r="T45" s="44" t="str">
        <f t="shared" si="21"/>
        <v/>
      </c>
      <c r="U45" s="44" t="str">
        <f t="shared" si="12"/>
        <v/>
      </c>
      <c r="V45" s="45" t="str">
        <f t="shared" si="13"/>
        <v/>
      </c>
      <c r="W45" s="46" t="str">
        <f t="shared" si="14"/>
        <v/>
      </c>
    </row>
    <row r="46" spans="1:24" x14ac:dyDescent="0.25">
      <c r="A46" s="42" t="str">
        <f t="shared" si="16"/>
        <v/>
      </c>
      <c r="B46" s="43" t="str">
        <f t="shared" si="24"/>
        <v/>
      </c>
      <c r="C46" s="44" t="str">
        <f t="shared" si="25"/>
        <v/>
      </c>
      <c r="D46" s="44" t="str">
        <f t="shared" si="26"/>
        <v/>
      </c>
      <c r="E46" s="44" t="str">
        <f t="shared" si="27"/>
        <v/>
      </c>
      <c r="F46" s="45" t="str">
        <f t="shared" si="2"/>
        <v/>
      </c>
      <c r="G46" s="46" t="str">
        <f t="shared" si="28"/>
        <v/>
      </c>
      <c r="I46" s="42" t="str">
        <f t="shared" si="18"/>
        <v/>
      </c>
      <c r="J46" s="43" t="str">
        <f t="shared" si="19"/>
        <v/>
      </c>
      <c r="K46" s="44" t="str">
        <f t="shared" si="5"/>
        <v/>
      </c>
      <c r="L46" s="44" t="str">
        <f t="shared" si="6"/>
        <v/>
      </c>
      <c r="M46" s="44" t="str">
        <f t="shared" si="7"/>
        <v/>
      </c>
      <c r="N46" s="45" t="str">
        <f t="shared" si="8"/>
        <v/>
      </c>
      <c r="O46" s="46" t="str">
        <f t="shared" si="9"/>
        <v/>
      </c>
      <c r="Q46" s="42" t="str">
        <f t="shared" si="10"/>
        <v/>
      </c>
      <c r="R46" s="43" t="str">
        <f t="shared" si="20"/>
        <v/>
      </c>
      <c r="S46" s="44" t="str">
        <f t="shared" si="11"/>
        <v/>
      </c>
      <c r="T46" s="44" t="str">
        <f t="shared" si="21"/>
        <v/>
      </c>
      <c r="U46" s="44" t="str">
        <f t="shared" si="12"/>
        <v/>
      </c>
      <c r="V46" s="45" t="str">
        <f t="shared" si="13"/>
        <v/>
      </c>
      <c r="W46" s="46" t="str">
        <f t="shared" si="14"/>
        <v/>
      </c>
    </row>
    <row r="47" spans="1:24" x14ac:dyDescent="0.25">
      <c r="A47" s="42" t="str">
        <f t="shared" si="16"/>
        <v/>
      </c>
      <c r="B47" s="43" t="str">
        <f t="shared" si="24"/>
        <v/>
      </c>
      <c r="C47" s="44" t="str">
        <f t="shared" si="25"/>
        <v/>
      </c>
      <c r="D47" s="44" t="str">
        <f t="shared" si="26"/>
        <v/>
      </c>
      <c r="E47" s="44" t="str">
        <f t="shared" si="27"/>
        <v/>
      </c>
      <c r="F47" s="45" t="str">
        <f t="shared" si="2"/>
        <v/>
      </c>
      <c r="G47" s="46" t="str">
        <f t="shared" si="28"/>
        <v/>
      </c>
      <c r="I47" s="42" t="str">
        <f t="shared" si="18"/>
        <v/>
      </c>
      <c r="J47" s="43" t="str">
        <f t="shared" si="19"/>
        <v/>
      </c>
      <c r="K47" s="44" t="str">
        <f t="shared" si="5"/>
        <v/>
      </c>
      <c r="L47" s="44" t="str">
        <f t="shared" si="6"/>
        <v/>
      </c>
      <c r="M47" s="44" t="str">
        <f t="shared" si="7"/>
        <v/>
      </c>
      <c r="N47" s="45" t="str">
        <f t="shared" si="8"/>
        <v/>
      </c>
      <c r="O47" s="46" t="str">
        <f t="shared" si="9"/>
        <v/>
      </c>
      <c r="Q47" s="42" t="str">
        <f t="shared" si="10"/>
        <v/>
      </c>
      <c r="R47" s="43" t="str">
        <f t="shared" si="20"/>
        <v/>
      </c>
      <c r="S47" s="44" t="str">
        <f t="shared" si="11"/>
        <v/>
      </c>
      <c r="T47" s="44" t="str">
        <f t="shared" si="21"/>
        <v/>
      </c>
      <c r="U47" s="44" t="str">
        <f t="shared" si="12"/>
        <v/>
      </c>
      <c r="V47" s="45" t="str">
        <f t="shared" si="13"/>
        <v/>
      </c>
      <c r="W47" s="46" t="str">
        <f t="shared" si="14"/>
        <v/>
      </c>
    </row>
    <row r="48" spans="1:24" x14ac:dyDescent="0.25">
      <c r="A48" s="42" t="str">
        <f t="shared" si="16"/>
        <v/>
      </c>
      <c r="B48" s="43" t="str">
        <f t="shared" si="24"/>
        <v/>
      </c>
      <c r="C48" s="44" t="str">
        <f t="shared" si="25"/>
        <v/>
      </c>
      <c r="D48" s="44" t="str">
        <f t="shared" si="26"/>
        <v/>
      </c>
      <c r="E48" s="44" t="str">
        <f t="shared" si="27"/>
        <v/>
      </c>
      <c r="F48" s="45" t="str">
        <f t="shared" si="2"/>
        <v/>
      </c>
      <c r="G48" s="46" t="str">
        <f t="shared" si="28"/>
        <v/>
      </c>
      <c r="I48" s="42" t="str">
        <f t="shared" si="18"/>
        <v/>
      </c>
      <c r="J48" s="43" t="str">
        <f t="shared" si="19"/>
        <v/>
      </c>
      <c r="K48" s="44" t="str">
        <f t="shared" si="5"/>
        <v/>
      </c>
      <c r="L48" s="44" t="str">
        <f t="shared" si="6"/>
        <v/>
      </c>
      <c r="M48" s="44" t="str">
        <f t="shared" si="7"/>
        <v/>
      </c>
      <c r="N48" s="45" t="str">
        <f t="shared" si="8"/>
        <v/>
      </c>
      <c r="O48" s="46" t="str">
        <f t="shared" si="9"/>
        <v/>
      </c>
      <c r="Q48" s="42" t="str">
        <f t="shared" si="10"/>
        <v/>
      </c>
      <c r="R48" s="43" t="str">
        <f t="shared" si="20"/>
        <v/>
      </c>
      <c r="S48" s="44" t="str">
        <f t="shared" si="11"/>
        <v/>
      </c>
      <c r="T48" s="44" t="str">
        <f t="shared" si="21"/>
        <v/>
      </c>
      <c r="U48" s="44" t="str">
        <f t="shared" si="12"/>
        <v/>
      </c>
      <c r="V48" s="45" t="str">
        <f t="shared" si="13"/>
        <v/>
      </c>
      <c r="W48" s="46" t="str">
        <f t="shared" si="14"/>
        <v/>
      </c>
    </row>
    <row r="49" spans="1:23" x14ac:dyDescent="0.25">
      <c r="A49" s="42" t="str">
        <f t="shared" si="16"/>
        <v/>
      </c>
      <c r="B49" s="43" t="str">
        <f t="shared" si="24"/>
        <v/>
      </c>
      <c r="C49" s="44" t="str">
        <f t="shared" si="25"/>
        <v/>
      </c>
      <c r="D49" s="44" t="str">
        <f t="shared" si="26"/>
        <v/>
      </c>
      <c r="E49" s="44" t="str">
        <f t="shared" si="27"/>
        <v/>
      </c>
      <c r="F49" s="45" t="str">
        <f t="shared" si="2"/>
        <v/>
      </c>
      <c r="G49" s="46" t="str">
        <f t="shared" si="28"/>
        <v/>
      </c>
      <c r="I49" s="42" t="str">
        <f t="shared" si="18"/>
        <v/>
      </c>
      <c r="J49" s="43" t="str">
        <f t="shared" si="19"/>
        <v/>
      </c>
      <c r="K49" s="44" t="str">
        <f t="shared" si="5"/>
        <v/>
      </c>
      <c r="L49" s="44" t="str">
        <f t="shared" si="6"/>
        <v/>
      </c>
      <c r="M49" s="44" t="str">
        <f t="shared" si="7"/>
        <v/>
      </c>
      <c r="N49" s="45" t="str">
        <f t="shared" si="8"/>
        <v/>
      </c>
      <c r="O49" s="46" t="str">
        <f t="shared" si="9"/>
        <v/>
      </c>
      <c r="Q49" s="42" t="str">
        <f t="shared" si="10"/>
        <v/>
      </c>
      <c r="R49" s="43" t="str">
        <f t="shared" si="20"/>
        <v/>
      </c>
      <c r="S49" s="44" t="str">
        <f t="shared" si="11"/>
        <v/>
      </c>
      <c r="T49" s="44" t="str">
        <f t="shared" si="21"/>
        <v/>
      </c>
      <c r="U49" s="44" t="str">
        <f t="shared" si="12"/>
        <v/>
      </c>
      <c r="V49" s="45" t="str">
        <f t="shared" si="13"/>
        <v/>
      </c>
      <c r="W49" s="46" t="str">
        <f t="shared" si="14"/>
        <v/>
      </c>
    </row>
    <row r="50" spans="1:23" x14ac:dyDescent="0.25">
      <c r="A50" s="42" t="str">
        <f t="shared" si="16"/>
        <v/>
      </c>
      <c r="B50" s="43" t="str">
        <f t="shared" si="24"/>
        <v/>
      </c>
      <c r="C50" s="44" t="str">
        <f t="shared" si="25"/>
        <v/>
      </c>
      <c r="D50" s="44" t="str">
        <f t="shared" si="26"/>
        <v/>
      </c>
      <c r="E50" s="44" t="str">
        <f t="shared" si="27"/>
        <v/>
      </c>
      <c r="F50" s="45" t="str">
        <f t="shared" si="2"/>
        <v/>
      </c>
      <c r="G50" s="46" t="str">
        <f t="shared" si="28"/>
        <v/>
      </c>
      <c r="I50" s="42" t="str">
        <f t="shared" si="18"/>
        <v/>
      </c>
      <c r="J50" s="43" t="str">
        <f t="shared" si="19"/>
        <v/>
      </c>
      <c r="K50" s="44" t="str">
        <f t="shared" si="5"/>
        <v/>
      </c>
      <c r="L50" s="44" t="str">
        <f t="shared" si="6"/>
        <v/>
      </c>
      <c r="M50" s="44" t="str">
        <f t="shared" si="7"/>
        <v/>
      </c>
      <c r="N50" s="45" t="str">
        <f t="shared" si="8"/>
        <v/>
      </c>
      <c r="O50" s="46" t="str">
        <f t="shared" si="9"/>
        <v/>
      </c>
      <c r="Q50" s="42" t="str">
        <f t="shared" si="10"/>
        <v/>
      </c>
      <c r="R50" s="43" t="str">
        <f t="shared" si="20"/>
        <v/>
      </c>
      <c r="S50" s="44" t="str">
        <f t="shared" si="11"/>
        <v/>
      </c>
      <c r="T50" s="44" t="str">
        <f t="shared" si="21"/>
        <v/>
      </c>
      <c r="U50" s="44" t="str">
        <f t="shared" si="12"/>
        <v/>
      </c>
      <c r="V50" s="45" t="str">
        <f t="shared" si="13"/>
        <v/>
      </c>
      <c r="W50" s="46" t="str">
        <f t="shared" si="14"/>
        <v/>
      </c>
    </row>
    <row r="51" spans="1:23" x14ac:dyDescent="0.25">
      <c r="A51" s="42" t="str">
        <f t="shared" si="16"/>
        <v/>
      </c>
      <c r="B51" s="43" t="str">
        <f t="shared" si="24"/>
        <v/>
      </c>
      <c r="C51" s="44" t="str">
        <f t="shared" si="25"/>
        <v/>
      </c>
      <c r="D51" s="44" t="str">
        <f t="shared" si="26"/>
        <v/>
      </c>
      <c r="E51" s="44" t="str">
        <f t="shared" si="27"/>
        <v/>
      </c>
      <c r="F51" s="45" t="str">
        <f t="shared" si="2"/>
        <v/>
      </c>
      <c r="G51" s="46" t="str">
        <f t="shared" si="28"/>
        <v/>
      </c>
      <c r="I51" s="42" t="str">
        <f t="shared" si="18"/>
        <v/>
      </c>
      <c r="J51" s="43" t="str">
        <f t="shared" si="19"/>
        <v/>
      </c>
      <c r="K51" s="44" t="str">
        <f t="shared" si="5"/>
        <v/>
      </c>
      <c r="L51" s="44" t="str">
        <f t="shared" si="6"/>
        <v/>
      </c>
      <c r="M51" s="44" t="str">
        <f t="shared" si="7"/>
        <v/>
      </c>
      <c r="N51" s="45" t="str">
        <f t="shared" si="8"/>
        <v/>
      </c>
      <c r="O51" s="46" t="str">
        <f t="shared" si="9"/>
        <v/>
      </c>
      <c r="Q51" s="42" t="str">
        <f t="shared" si="10"/>
        <v/>
      </c>
      <c r="R51" s="43" t="str">
        <f t="shared" si="20"/>
        <v/>
      </c>
      <c r="S51" s="44" t="str">
        <f t="shared" si="11"/>
        <v/>
      </c>
      <c r="T51" s="44" t="str">
        <f t="shared" si="21"/>
        <v/>
      </c>
      <c r="U51" s="44" t="str">
        <f t="shared" si="12"/>
        <v/>
      </c>
      <c r="V51" s="45" t="str">
        <f t="shared" si="13"/>
        <v/>
      </c>
      <c r="W51" s="46" t="str">
        <f t="shared" si="14"/>
        <v/>
      </c>
    </row>
    <row r="52" spans="1:23" x14ac:dyDescent="0.25">
      <c r="A52" s="42" t="str">
        <f t="shared" si="16"/>
        <v/>
      </c>
      <c r="B52" s="43" t="str">
        <f t="shared" si="24"/>
        <v/>
      </c>
      <c r="C52" s="44" t="str">
        <f t="shared" si="25"/>
        <v/>
      </c>
      <c r="D52" s="44" t="str">
        <f t="shared" si="26"/>
        <v/>
      </c>
      <c r="E52" s="44" t="str">
        <f t="shared" si="27"/>
        <v/>
      </c>
      <c r="F52" s="45" t="str">
        <f t="shared" si="2"/>
        <v/>
      </c>
      <c r="G52" s="46" t="str">
        <f t="shared" si="28"/>
        <v/>
      </c>
      <c r="I52" s="42" t="str">
        <f t="shared" si="18"/>
        <v/>
      </c>
      <c r="J52" s="43" t="str">
        <f t="shared" si="19"/>
        <v/>
      </c>
      <c r="K52" s="44" t="str">
        <f t="shared" si="5"/>
        <v/>
      </c>
      <c r="L52" s="44" t="str">
        <f t="shared" si="6"/>
        <v/>
      </c>
      <c r="M52" s="44" t="str">
        <f t="shared" si="7"/>
        <v/>
      </c>
      <c r="N52" s="45" t="str">
        <f t="shared" si="8"/>
        <v/>
      </c>
      <c r="O52" s="46" t="str">
        <f t="shared" si="9"/>
        <v/>
      </c>
      <c r="Q52" s="42" t="str">
        <f t="shared" si="10"/>
        <v/>
      </c>
      <c r="R52" s="43" t="str">
        <f t="shared" si="20"/>
        <v/>
      </c>
      <c r="S52" s="44" t="str">
        <f t="shared" si="11"/>
        <v/>
      </c>
      <c r="T52" s="44" t="str">
        <f t="shared" si="21"/>
        <v/>
      </c>
      <c r="U52" s="44" t="str">
        <f t="shared" si="12"/>
        <v/>
      </c>
      <c r="V52" s="45" t="str">
        <f t="shared" si="13"/>
        <v/>
      </c>
      <c r="W52" s="46" t="str">
        <f t="shared" si="14"/>
        <v/>
      </c>
    </row>
    <row r="53" spans="1:23" x14ac:dyDescent="0.25">
      <c r="A53" s="42" t="str">
        <f t="shared" si="16"/>
        <v/>
      </c>
      <c r="B53" s="43" t="str">
        <f t="shared" si="24"/>
        <v/>
      </c>
      <c r="C53" s="44" t="str">
        <f t="shared" si="25"/>
        <v/>
      </c>
      <c r="D53" s="44" t="str">
        <f t="shared" si="26"/>
        <v/>
      </c>
      <c r="E53" s="44" t="str">
        <f t="shared" si="27"/>
        <v/>
      </c>
      <c r="F53" s="45" t="str">
        <f t="shared" si="2"/>
        <v/>
      </c>
      <c r="G53" s="46" t="str">
        <f t="shared" si="28"/>
        <v/>
      </c>
      <c r="I53" s="42" t="str">
        <f t="shared" si="18"/>
        <v/>
      </c>
      <c r="J53" s="43" t="str">
        <f t="shared" si="19"/>
        <v/>
      </c>
      <c r="K53" s="44" t="str">
        <f t="shared" si="5"/>
        <v/>
      </c>
      <c r="L53" s="44" t="str">
        <f t="shared" si="6"/>
        <v/>
      </c>
      <c r="M53" s="44" t="str">
        <f t="shared" si="7"/>
        <v/>
      </c>
      <c r="N53" s="45" t="str">
        <f t="shared" si="8"/>
        <v/>
      </c>
      <c r="O53" s="46" t="str">
        <f t="shared" si="9"/>
        <v/>
      </c>
      <c r="Q53" s="42" t="str">
        <f t="shared" si="10"/>
        <v/>
      </c>
      <c r="R53" s="43" t="str">
        <f t="shared" si="20"/>
        <v/>
      </c>
      <c r="S53" s="44" t="str">
        <f t="shared" si="11"/>
        <v/>
      </c>
      <c r="T53" s="44" t="str">
        <f t="shared" si="21"/>
        <v/>
      </c>
      <c r="U53" s="44" t="str">
        <f t="shared" si="12"/>
        <v/>
      </c>
      <c r="V53" s="45" t="str">
        <f t="shared" si="13"/>
        <v/>
      </c>
      <c r="W53" s="46" t="str">
        <f t="shared" si="14"/>
        <v/>
      </c>
    </row>
    <row r="54" spans="1:23" x14ac:dyDescent="0.25">
      <c r="A54" s="42" t="str">
        <f t="shared" si="16"/>
        <v/>
      </c>
      <c r="B54" s="43" t="str">
        <f t="shared" si="24"/>
        <v/>
      </c>
      <c r="C54" s="44" t="str">
        <f t="shared" si="25"/>
        <v/>
      </c>
      <c r="D54" s="44" t="str">
        <f t="shared" si="26"/>
        <v/>
      </c>
      <c r="E54" s="44" t="str">
        <f t="shared" si="27"/>
        <v/>
      </c>
      <c r="F54" s="45" t="str">
        <f t="shared" si="2"/>
        <v/>
      </c>
      <c r="G54" s="46" t="str">
        <f t="shared" si="28"/>
        <v/>
      </c>
      <c r="I54" s="42" t="str">
        <f t="shared" si="18"/>
        <v/>
      </c>
      <c r="J54" s="43" t="str">
        <f t="shared" si="19"/>
        <v/>
      </c>
      <c r="K54" s="44" t="str">
        <f t="shared" si="5"/>
        <v/>
      </c>
      <c r="L54" s="44" t="str">
        <f t="shared" si="6"/>
        <v/>
      </c>
      <c r="M54" s="44" t="str">
        <f t="shared" si="7"/>
        <v/>
      </c>
      <c r="N54" s="45" t="str">
        <f t="shared" si="8"/>
        <v/>
      </c>
      <c r="O54" s="46" t="str">
        <f t="shared" si="9"/>
        <v/>
      </c>
      <c r="Q54" s="42" t="str">
        <f t="shared" si="10"/>
        <v/>
      </c>
      <c r="R54" s="43" t="str">
        <f t="shared" si="20"/>
        <v/>
      </c>
      <c r="S54" s="44" t="str">
        <f t="shared" si="11"/>
        <v/>
      </c>
      <c r="T54" s="44" t="str">
        <f t="shared" si="21"/>
        <v/>
      </c>
      <c r="U54" s="44" t="str">
        <f t="shared" si="12"/>
        <v/>
      </c>
      <c r="V54" s="45" t="str">
        <f t="shared" si="13"/>
        <v/>
      </c>
      <c r="W54" s="46" t="str">
        <f t="shared" si="14"/>
        <v/>
      </c>
    </row>
    <row r="55" spans="1:23" x14ac:dyDescent="0.25">
      <c r="A55" s="42" t="str">
        <f t="shared" si="16"/>
        <v/>
      </c>
      <c r="B55" s="43" t="str">
        <f t="shared" si="24"/>
        <v/>
      </c>
      <c r="C55" s="44" t="str">
        <f t="shared" si="25"/>
        <v/>
      </c>
      <c r="D55" s="44" t="str">
        <f t="shared" si="26"/>
        <v/>
      </c>
      <c r="E55" s="44" t="str">
        <f t="shared" si="27"/>
        <v/>
      </c>
      <c r="F55" s="45" t="str">
        <f t="shared" si="2"/>
        <v/>
      </c>
      <c r="G55" s="46" t="str">
        <f t="shared" si="28"/>
        <v/>
      </c>
      <c r="I55" s="42" t="str">
        <f t="shared" si="18"/>
        <v/>
      </c>
      <c r="J55" s="43" t="str">
        <f t="shared" si="19"/>
        <v/>
      </c>
      <c r="K55" s="44" t="str">
        <f t="shared" si="5"/>
        <v/>
      </c>
      <c r="L55" s="44" t="str">
        <f t="shared" si="6"/>
        <v/>
      </c>
      <c r="M55" s="44" t="str">
        <f t="shared" si="7"/>
        <v/>
      </c>
      <c r="N55" s="45" t="str">
        <f t="shared" si="8"/>
        <v/>
      </c>
      <c r="O55" s="46" t="str">
        <f t="shared" si="9"/>
        <v/>
      </c>
      <c r="Q55" s="42" t="str">
        <f t="shared" si="10"/>
        <v/>
      </c>
      <c r="R55" s="43" t="str">
        <f t="shared" si="20"/>
        <v/>
      </c>
      <c r="S55" s="44" t="str">
        <f t="shared" si="11"/>
        <v/>
      </c>
      <c r="T55" s="44" t="str">
        <f t="shared" si="21"/>
        <v/>
      </c>
      <c r="U55" s="44" t="str">
        <f t="shared" si="12"/>
        <v/>
      </c>
      <c r="V55" s="45" t="str">
        <f t="shared" si="13"/>
        <v/>
      </c>
      <c r="W55" s="46" t="str">
        <f t="shared" si="14"/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B19:G19"/>
    <mergeCell ref="J19:O19"/>
    <mergeCell ref="R19:W19"/>
    <mergeCell ref="AB8:AF8"/>
    <mergeCell ref="AB9:AF9"/>
    <mergeCell ref="AB10:AF10"/>
    <mergeCell ref="AB12:AF12"/>
    <mergeCell ref="AB13:AF13"/>
    <mergeCell ref="AB14:AF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A387-5E78-445F-A6B1-7D2602CC9E05}">
  <sheetPr>
    <tabColor theme="5" tint="0.59999389629810485"/>
  </sheetPr>
  <dimension ref="A9:X129"/>
  <sheetViews>
    <sheetView showGridLines="0" showRowColHeaders="0" zoomScale="80" zoomScaleNormal="80" workbookViewId="0">
      <selection activeCell="J27" sqref="J27"/>
    </sheetView>
  </sheetViews>
  <sheetFormatPr defaultColWidth="11.42578125" defaultRowHeight="15" x14ac:dyDescent="0.25"/>
  <cols>
    <col min="1" max="1" width="4" style="1" customWidth="1"/>
    <col min="2" max="2" width="34.140625" style="1" bestFit="1" customWidth="1"/>
    <col min="3" max="3" width="19.7109375" style="1" customWidth="1"/>
    <col min="4" max="4" width="14" style="1" bestFit="1" customWidth="1"/>
    <col min="5" max="5" width="6.28515625" style="1" bestFit="1" customWidth="1"/>
    <col min="6" max="6" width="13.5703125" style="1" bestFit="1" customWidth="1"/>
    <col min="7" max="7" width="7.5703125" style="1" customWidth="1"/>
    <col min="8" max="8" width="20.5703125" style="1" customWidth="1"/>
    <col min="9" max="9" width="18.85546875" style="1" customWidth="1"/>
    <col min="10" max="10" width="14.5703125" style="1" customWidth="1"/>
    <col min="11" max="11" width="16.28515625" style="1" customWidth="1"/>
    <col min="12" max="12" width="4.42578125" style="1" customWidth="1"/>
    <col min="13" max="13" width="19" style="1" customWidth="1"/>
    <col min="14" max="14" width="18.140625" style="1" customWidth="1"/>
    <col min="15" max="15" width="13.5703125" style="1" customWidth="1"/>
    <col min="16" max="16" width="16.140625" style="1" customWidth="1"/>
    <col min="17" max="17" width="17.7109375" style="1" customWidth="1"/>
    <col min="18" max="18" width="16.5703125" style="1" customWidth="1"/>
    <col min="19" max="19" width="14.5703125" style="1" bestFit="1" customWidth="1"/>
    <col min="20" max="21" width="11.42578125" style="1"/>
    <col min="22" max="22" width="23.28515625" style="1" customWidth="1"/>
    <col min="23" max="23" width="13" style="1" bestFit="1" customWidth="1"/>
    <col min="24" max="24" width="11.85546875" style="1" bestFit="1" customWidth="1"/>
    <col min="25" max="25" width="11.42578125" style="1"/>
    <col min="26" max="26" width="15.140625" style="1" customWidth="1"/>
    <col min="27" max="27" width="11.42578125" style="1"/>
    <col min="28" max="28" width="17.5703125" style="1" customWidth="1"/>
    <col min="29" max="31" width="11.42578125" style="1"/>
    <col min="32" max="33" width="13.28515625" style="1" customWidth="1"/>
    <col min="34" max="16384" width="11.42578125" style="1"/>
  </cols>
  <sheetData>
    <row r="9" spans="2:17" x14ac:dyDescent="0.25">
      <c r="B9" s="4" t="s">
        <v>50</v>
      </c>
    </row>
    <row r="10" spans="2:17" x14ac:dyDescent="0.25">
      <c r="B10" s="2" t="s">
        <v>183</v>
      </c>
    </row>
    <row r="11" spans="2:17" x14ac:dyDescent="0.25">
      <c r="B11" s="2" t="s">
        <v>182</v>
      </c>
    </row>
    <row r="12" spans="2:17" x14ac:dyDescent="0.25">
      <c r="B12" s="2" t="s">
        <v>184</v>
      </c>
    </row>
    <row r="13" spans="2:17" ht="15.75" thickBot="1" x14ac:dyDescent="0.3">
      <c r="B13" s="2" t="s">
        <v>185</v>
      </c>
    </row>
    <row r="14" spans="2:17" ht="16.5" thickBot="1" x14ac:dyDescent="0.3">
      <c r="H14" s="362" t="s">
        <v>109</v>
      </c>
      <c r="I14" s="363"/>
      <c r="J14" s="363"/>
      <c r="K14" s="363"/>
      <c r="L14" s="363"/>
      <c r="M14" s="363"/>
      <c r="N14" s="363"/>
      <c r="O14" s="363"/>
      <c r="P14" s="364"/>
    </row>
    <row r="15" spans="2:17" ht="20.25" x14ac:dyDescent="0.3">
      <c r="B15" s="341" t="s">
        <v>224</v>
      </c>
      <c r="H15" s="172"/>
      <c r="I15" s="249">
        <f>+D25</f>
        <v>4.1149999999999999E-2</v>
      </c>
      <c r="J15" s="174"/>
      <c r="K15" s="174"/>
      <c r="L15" s="174"/>
      <c r="M15" s="174"/>
      <c r="N15" s="250">
        <f>+D26</f>
        <v>3.5349999999999999E-2</v>
      </c>
      <c r="O15" s="174"/>
      <c r="P15" s="175"/>
    </row>
    <row r="16" spans="2:17" ht="15.75" customHeight="1" x14ac:dyDescent="0.25">
      <c r="B16" s="246" t="s">
        <v>189</v>
      </c>
      <c r="C16" s="149"/>
      <c r="D16" s="10"/>
      <c r="E16" s="10"/>
      <c r="H16" s="359" t="s">
        <v>191</v>
      </c>
      <c r="I16" s="360"/>
      <c r="J16" s="360"/>
      <c r="K16" s="360"/>
      <c r="L16" s="10"/>
      <c r="M16" s="352" t="s">
        <v>192</v>
      </c>
      <c r="N16" s="360"/>
      <c r="O16" s="360"/>
      <c r="P16" s="361"/>
      <c r="Q16" s="2"/>
    </row>
    <row r="17" spans="1:23" ht="15.75" x14ac:dyDescent="0.25">
      <c r="B17" s="95" t="s">
        <v>22</v>
      </c>
      <c r="C17" s="10"/>
      <c r="D17" s="96">
        <f>+'X.2. Tabla de capitalización'!C15</f>
        <v>69445429.600000009</v>
      </c>
      <c r="E17" s="10"/>
      <c r="F17" s="10"/>
      <c r="G17" s="10"/>
      <c r="H17" s="303" t="s">
        <v>62</v>
      </c>
      <c r="I17" s="304" t="s">
        <v>63</v>
      </c>
      <c r="J17" s="304" t="s">
        <v>64</v>
      </c>
      <c r="K17" s="304" t="s">
        <v>65</v>
      </c>
      <c r="L17" s="305"/>
      <c r="M17" s="304" t="s">
        <v>62</v>
      </c>
      <c r="N17" s="304" t="s">
        <v>63</v>
      </c>
      <c r="O17" s="304" t="s">
        <v>64</v>
      </c>
      <c r="P17" s="306" t="s">
        <v>65</v>
      </c>
      <c r="Q17" s="2"/>
    </row>
    <row r="18" spans="1:23" ht="15.75" customHeight="1" x14ac:dyDescent="0.25">
      <c r="B18" s="97" t="s">
        <v>66</v>
      </c>
      <c r="C18" s="10"/>
      <c r="D18" s="98">
        <v>5.2499999999999998E-2</v>
      </c>
      <c r="E18" s="100" t="s">
        <v>200</v>
      </c>
      <c r="F18" s="191"/>
      <c r="H18" s="178">
        <v>43524</v>
      </c>
      <c r="I18" s="104">
        <f>-D17</f>
        <v>-69445429.600000009</v>
      </c>
      <c r="J18" s="6"/>
      <c r="K18" s="6"/>
      <c r="L18" s="10"/>
      <c r="M18" s="106">
        <v>43524</v>
      </c>
      <c r="N18" s="104">
        <f>-D17</f>
        <v>-69445429.600000009</v>
      </c>
      <c r="O18" s="6"/>
      <c r="P18" s="179"/>
      <c r="Q18" s="2"/>
    </row>
    <row r="19" spans="1:23" ht="16.5" customHeight="1" x14ac:dyDescent="0.25">
      <c r="B19" s="97"/>
      <c r="C19" s="10"/>
      <c r="D19" s="188">
        <f>+((1+D18)^(1/12))-1</f>
        <v>4.2731277661580691E-3</v>
      </c>
      <c r="E19" s="100" t="s">
        <v>202</v>
      </c>
      <c r="H19" s="178">
        <v>43555</v>
      </c>
      <c r="I19" s="108">
        <f>+$D$17*$D$19</f>
        <v>296749.19345653546</v>
      </c>
      <c r="J19" s="6"/>
      <c r="K19" s="6"/>
      <c r="L19" s="10"/>
      <c r="M19" s="106">
        <v>43555</v>
      </c>
      <c r="N19" s="108">
        <f>+$D$17*$D$19</f>
        <v>296749.19345653546</v>
      </c>
      <c r="O19" s="6"/>
      <c r="P19" s="179"/>
      <c r="Q19" s="2"/>
    </row>
    <row r="20" spans="1:23" ht="15.75" x14ac:dyDescent="0.25">
      <c r="B20" s="97" t="s">
        <v>68</v>
      </c>
      <c r="C20" s="10"/>
      <c r="D20" s="10" t="s">
        <v>105</v>
      </c>
      <c r="E20" s="10"/>
      <c r="G20" s="150"/>
      <c r="H20" s="178">
        <v>43585</v>
      </c>
      <c r="I20" s="108">
        <f t="shared" ref="I20:I39" si="0">+$D$17*$D$19</f>
        <v>296749.19345653546</v>
      </c>
      <c r="J20" s="6"/>
      <c r="K20" s="6"/>
      <c r="L20" s="10"/>
      <c r="M20" s="106">
        <v>43585</v>
      </c>
      <c r="N20" s="108">
        <f t="shared" ref="N20:N39" si="1">+$D$17*$D$19</f>
        <v>296749.19345653546</v>
      </c>
      <c r="O20" s="6"/>
      <c r="P20" s="179"/>
      <c r="Q20" s="2"/>
    </row>
    <row r="21" spans="1:23" ht="15.75" x14ac:dyDescent="0.25">
      <c r="B21" s="97" t="s">
        <v>70</v>
      </c>
      <c r="C21" s="10"/>
      <c r="D21" s="166" t="s">
        <v>190</v>
      </c>
      <c r="E21" s="166"/>
      <c r="F21" s="150"/>
      <c r="G21" s="150"/>
      <c r="H21" s="178">
        <v>43616</v>
      </c>
      <c r="I21" s="108">
        <f t="shared" si="0"/>
        <v>296749.19345653546</v>
      </c>
      <c r="J21" s="6"/>
      <c r="K21" s="6"/>
      <c r="L21" s="10"/>
      <c r="M21" s="106">
        <v>43616</v>
      </c>
      <c r="N21" s="108">
        <f t="shared" si="1"/>
        <v>296749.19345653546</v>
      </c>
      <c r="O21" s="6"/>
      <c r="P21" s="179"/>
      <c r="Q21" s="2"/>
    </row>
    <row r="22" spans="1:23" ht="15.75" x14ac:dyDescent="0.25">
      <c r="B22" s="97" t="s">
        <v>72</v>
      </c>
      <c r="C22" s="10"/>
      <c r="D22" s="10" t="s">
        <v>106</v>
      </c>
      <c r="E22" s="10"/>
      <c r="F22" s="150"/>
      <c r="G22" s="150"/>
      <c r="H22" s="178">
        <v>43646</v>
      </c>
      <c r="I22" s="108">
        <f t="shared" si="0"/>
        <v>296749.19345653546</v>
      </c>
      <c r="J22" s="6"/>
      <c r="K22" s="6"/>
      <c r="L22" s="10"/>
      <c r="M22" s="106">
        <v>43646</v>
      </c>
      <c r="N22" s="108">
        <f t="shared" si="1"/>
        <v>296749.19345653546</v>
      </c>
      <c r="O22" s="6"/>
      <c r="P22" s="179"/>
      <c r="Q22" s="2"/>
    </row>
    <row r="23" spans="1:23" ht="15.75" x14ac:dyDescent="0.25">
      <c r="B23" s="97" t="s">
        <v>74</v>
      </c>
      <c r="C23" s="10"/>
      <c r="D23" s="99">
        <v>0.98</v>
      </c>
      <c r="E23" s="10"/>
      <c r="G23" s="150"/>
      <c r="H23" s="178">
        <v>43677</v>
      </c>
      <c r="I23" s="108">
        <f t="shared" si="0"/>
        <v>296749.19345653546</v>
      </c>
      <c r="J23" s="6"/>
      <c r="K23" s="6"/>
      <c r="L23" s="10"/>
      <c r="M23" s="106">
        <v>43677</v>
      </c>
      <c r="N23" s="108">
        <f t="shared" si="1"/>
        <v>296749.19345653546</v>
      </c>
      <c r="O23" s="6"/>
      <c r="P23" s="179"/>
      <c r="Q23" s="2"/>
    </row>
    <row r="24" spans="1:23" ht="15.75" x14ac:dyDescent="0.25">
      <c r="B24" s="97" t="s">
        <v>75</v>
      </c>
      <c r="C24" s="10"/>
      <c r="D24" s="113">
        <v>43511</v>
      </c>
      <c r="E24" s="10"/>
      <c r="G24" s="150"/>
      <c r="H24" s="178">
        <v>43708</v>
      </c>
      <c r="I24" s="108">
        <f t="shared" si="0"/>
        <v>296749.19345653546</v>
      </c>
      <c r="J24" s="6"/>
      <c r="K24" s="6"/>
      <c r="L24" s="10"/>
      <c r="M24" s="106">
        <v>43708</v>
      </c>
      <c r="N24" s="108">
        <f t="shared" si="1"/>
        <v>296749.19345653546</v>
      </c>
      <c r="O24" s="6"/>
      <c r="P24" s="179"/>
      <c r="Q24" s="2"/>
    </row>
    <row r="25" spans="1:23" ht="15.75" x14ac:dyDescent="0.25">
      <c r="B25" s="163" t="s">
        <v>193</v>
      </c>
      <c r="C25" s="148"/>
      <c r="D25" s="164">
        <v>4.1149999999999999E-2</v>
      </c>
      <c r="E25" s="149" t="s">
        <v>195</v>
      </c>
      <c r="H25" s="178">
        <v>43738</v>
      </c>
      <c r="I25" s="108">
        <f t="shared" si="0"/>
        <v>296749.19345653546</v>
      </c>
      <c r="J25" s="6"/>
      <c r="K25" s="6"/>
      <c r="L25" s="10"/>
      <c r="M25" s="106">
        <v>43738</v>
      </c>
      <c r="N25" s="108">
        <f t="shared" si="1"/>
        <v>296749.19345653546</v>
      </c>
      <c r="O25" s="6"/>
      <c r="P25" s="179"/>
      <c r="Q25" s="2"/>
    </row>
    <row r="26" spans="1:23" ht="15.75" x14ac:dyDescent="0.25">
      <c r="A26" s="150"/>
      <c r="B26" s="163" t="s">
        <v>194</v>
      </c>
      <c r="C26" s="165"/>
      <c r="D26" s="164">
        <v>3.5349999999999999E-2</v>
      </c>
      <c r="E26" s="149" t="s">
        <v>195</v>
      </c>
      <c r="H26" s="178">
        <v>43769</v>
      </c>
      <c r="I26" s="108">
        <f t="shared" si="0"/>
        <v>296749.19345653546</v>
      </c>
      <c r="J26" s="6"/>
      <c r="K26" s="6"/>
      <c r="L26" s="10"/>
      <c r="M26" s="106">
        <v>43769</v>
      </c>
      <c r="N26" s="108">
        <f t="shared" si="1"/>
        <v>296749.19345653546</v>
      </c>
      <c r="O26" s="6"/>
      <c r="P26" s="179"/>
      <c r="Q26" s="2"/>
    </row>
    <row r="27" spans="1:23" ht="15.75" x14ac:dyDescent="0.25">
      <c r="A27" s="150"/>
      <c r="B27" s="163" t="s">
        <v>218</v>
      </c>
      <c r="C27" s="148"/>
      <c r="D27" s="164">
        <v>3.0849999999999999E-2</v>
      </c>
      <c r="E27" s="149" t="s">
        <v>195</v>
      </c>
      <c r="H27" s="178">
        <v>43799</v>
      </c>
      <c r="I27" s="108">
        <f t="shared" si="0"/>
        <v>296749.19345653546</v>
      </c>
      <c r="J27" s="6"/>
      <c r="K27" s="6"/>
      <c r="L27" s="10"/>
      <c r="M27" s="106">
        <v>43799</v>
      </c>
      <c r="N27" s="108">
        <f t="shared" si="1"/>
        <v>296749.19345653546</v>
      </c>
      <c r="O27" s="6"/>
      <c r="P27" s="179"/>
      <c r="Q27" s="2"/>
    </row>
    <row r="28" spans="1:23" ht="15.75" x14ac:dyDescent="0.25">
      <c r="A28" s="150"/>
      <c r="B28" s="153"/>
      <c r="C28" s="154"/>
      <c r="H28" s="178">
        <v>43830</v>
      </c>
      <c r="I28" s="108">
        <f t="shared" si="0"/>
        <v>296749.19345653546</v>
      </c>
      <c r="J28" s="6"/>
      <c r="K28" s="6"/>
      <c r="L28" s="10"/>
      <c r="M28" s="106">
        <v>43830</v>
      </c>
      <c r="N28" s="108">
        <f t="shared" si="1"/>
        <v>296749.19345653546</v>
      </c>
      <c r="O28" s="6"/>
      <c r="P28" s="179"/>
      <c r="Q28" s="2"/>
    </row>
    <row r="29" spans="1:23" ht="15.75" x14ac:dyDescent="0.25">
      <c r="A29" s="150"/>
      <c r="B29" s="153"/>
      <c r="C29" s="154"/>
      <c r="H29" s="178">
        <v>43861</v>
      </c>
      <c r="I29" s="108">
        <f t="shared" si="0"/>
        <v>296749.19345653546</v>
      </c>
      <c r="J29" s="6"/>
      <c r="K29" s="6"/>
      <c r="L29" s="10"/>
      <c r="M29" s="106">
        <v>43861</v>
      </c>
      <c r="N29" s="108">
        <f t="shared" si="1"/>
        <v>296749.19345653546</v>
      </c>
      <c r="O29" s="6"/>
      <c r="P29" s="179"/>
      <c r="Q29" s="2"/>
    </row>
    <row r="30" spans="1:23" ht="18" x14ac:dyDescent="0.25">
      <c r="A30" s="150"/>
      <c r="B30" s="153"/>
      <c r="C30" s="154"/>
      <c r="G30" s="147"/>
      <c r="H30" s="180">
        <v>43890</v>
      </c>
      <c r="I30" s="108">
        <f>+$D$17*$D$19</f>
        <v>296749.19345653546</v>
      </c>
      <c r="J30" s="157"/>
      <c r="K30" s="158"/>
      <c r="M30" s="160">
        <v>43890</v>
      </c>
      <c r="N30" s="108">
        <f t="shared" si="1"/>
        <v>296749.19345653546</v>
      </c>
      <c r="O30" s="162"/>
      <c r="P30" s="182"/>
      <c r="R30" s="2"/>
    </row>
    <row r="31" spans="1:23" ht="18" x14ac:dyDescent="0.25">
      <c r="A31" s="150"/>
      <c r="B31" s="153"/>
      <c r="C31" s="154"/>
      <c r="H31" s="178">
        <v>43921</v>
      </c>
      <c r="I31" s="108">
        <f t="shared" si="0"/>
        <v>296749.19345653546</v>
      </c>
      <c r="J31" s="105">
        <v>1</v>
      </c>
      <c r="K31" s="109">
        <f t="shared" ref="K31:K40" si="2">I31/(1+$I$15/12)^(J31)</f>
        <v>295735.06861706945</v>
      </c>
      <c r="L31" s="10"/>
      <c r="M31" s="156">
        <v>43921</v>
      </c>
      <c r="N31" s="108">
        <f t="shared" si="1"/>
        <v>296749.19345653546</v>
      </c>
      <c r="O31" s="159"/>
      <c r="P31" s="183"/>
      <c r="R31" s="251"/>
      <c r="S31" s="150"/>
      <c r="T31" s="150"/>
      <c r="U31" s="150"/>
      <c r="V31" s="150"/>
      <c r="W31" s="150"/>
    </row>
    <row r="32" spans="1:23" ht="15.75" x14ac:dyDescent="0.25">
      <c r="A32" s="150"/>
      <c r="B32" s="153"/>
      <c r="C32" s="154"/>
      <c r="H32" s="178">
        <v>43951</v>
      </c>
      <c r="I32" s="108">
        <f t="shared" si="0"/>
        <v>296749.19345653546</v>
      </c>
      <c r="J32" s="105">
        <v>2</v>
      </c>
      <c r="K32" s="109">
        <f t="shared" si="2"/>
        <v>294724.40949617216</v>
      </c>
      <c r="L32" s="10"/>
      <c r="M32" s="106">
        <v>43951</v>
      </c>
      <c r="N32" s="108">
        <f t="shared" si="1"/>
        <v>296749.19345653546</v>
      </c>
      <c r="O32" s="105">
        <v>1</v>
      </c>
      <c r="P32" s="184">
        <f t="shared" ref="P32:P40" si="3">N32/(1+$N$15/12)^(O32)</f>
        <v>295877.58739699511</v>
      </c>
      <c r="Q32" s="155"/>
      <c r="R32" s="251"/>
      <c r="S32" s="150"/>
      <c r="T32" s="150"/>
      <c r="U32" s="150"/>
      <c r="V32" s="150"/>
      <c r="W32" s="150"/>
    </row>
    <row r="33" spans="1:24" ht="15.75" x14ac:dyDescent="0.25">
      <c r="A33" s="150"/>
      <c r="B33" s="153"/>
      <c r="C33" s="154"/>
      <c r="H33" s="178">
        <v>43982</v>
      </c>
      <c r="I33" s="108">
        <f t="shared" si="0"/>
        <v>296749.19345653546</v>
      </c>
      <c r="J33" s="105">
        <v>3</v>
      </c>
      <c r="K33" s="109">
        <f t="shared" si="2"/>
        <v>293717.20424993179</v>
      </c>
      <c r="L33" s="10"/>
      <c r="M33" s="106">
        <v>43982</v>
      </c>
      <c r="N33" s="108">
        <f t="shared" si="1"/>
        <v>296749.19345653546</v>
      </c>
      <c r="O33" s="105">
        <v>2</v>
      </c>
      <c r="P33" s="184">
        <f t="shared" si="3"/>
        <v>295008.54140211467</v>
      </c>
      <c r="Q33" s="2"/>
      <c r="R33" s="251"/>
    </row>
    <row r="34" spans="1:24" ht="15.75" x14ac:dyDescent="0.25">
      <c r="A34" s="150"/>
      <c r="B34" s="153"/>
      <c r="C34" s="154"/>
      <c r="H34" s="178">
        <v>44012</v>
      </c>
      <c r="I34" s="108">
        <f t="shared" si="0"/>
        <v>296749.19345653546</v>
      </c>
      <c r="J34" s="105">
        <v>4</v>
      </c>
      <c r="K34" s="109">
        <f t="shared" si="2"/>
        <v>292713.44107491238</v>
      </c>
      <c r="L34" s="10"/>
      <c r="M34" s="106">
        <v>44012</v>
      </c>
      <c r="N34" s="108">
        <f t="shared" si="1"/>
        <v>296749.19345653546</v>
      </c>
      <c r="O34" s="105">
        <v>3</v>
      </c>
      <c r="P34" s="184">
        <f t="shared" si="3"/>
        <v>294142.04795252118</v>
      </c>
    </row>
    <row r="35" spans="1:24" ht="15.75" x14ac:dyDescent="0.25">
      <c r="A35" s="150"/>
      <c r="B35" s="153"/>
      <c r="C35" s="154"/>
      <c r="H35" s="178">
        <v>44043</v>
      </c>
      <c r="I35" s="108">
        <f t="shared" si="0"/>
        <v>296749.19345653546</v>
      </c>
      <c r="J35" s="105">
        <v>5</v>
      </c>
      <c r="K35" s="109">
        <f t="shared" si="2"/>
        <v>291713.10820801579</v>
      </c>
      <c r="L35" s="10"/>
      <c r="M35" s="106">
        <v>44043</v>
      </c>
      <c r="N35" s="108">
        <f t="shared" si="1"/>
        <v>296749.19345653546</v>
      </c>
      <c r="O35" s="105">
        <v>4</v>
      </c>
      <c r="P35" s="184">
        <f t="shared" si="3"/>
        <v>293278.09955092735</v>
      </c>
    </row>
    <row r="36" spans="1:24" ht="15.75" x14ac:dyDescent="0.25">
      <c r="A36" s="150"/>
      <c r="B36" s="153"/>
      <c r="C36" s="154"/>
      <c r="H36" s="178">
        <v>44074</v>
      </c>
      <c r="I36" s="108">
        <f t="shared" si="0"/>
        <v>296749.19345653546</v>
      </c>
      <c r="J36" s="105">
        <v>6</v>
      </c>
      <c r="K36" s="109">
        <f t="shared" si="2"/>
        <v>290716.19392634335</v>
      </c>
      <c r="L36" s="10"/>
      <c r="M36" s="106">
        <v>44074</v>
      </c>
      <c r="N36" s="108">
        <f t="shared" si="1"/>
        <v>296749.19345653546</v>
      </c>
      <c r="O36" s="170">
        <v>5</v>
      </c>
      <c r="P36" s="184">
        <f t="shared" si="3"/>
        <v>292416.68872206693</v>
      </c>
    </row>
    <row r="37" spans="1:24" ht="15.75" x14ac:dyDescent="0.25">
      <c r="A37" s="150"/>
      <c r="B37" s="153"/>
      <c r="C37" s="154"/>
      <c r="H37" s="178">
        <v>44104</v>
      </c>
      <c r="I37" s="108">
        <f t="shared" si="0"/>
        <v>296749.19345653546</v>
      </c>
      <c r="J37" s="105">
        <v>7</v>
      </c>
      <c r="K37" s="109">
        <f t="shared" si="2"/>
        <v>289722.6865470591</v>
      </c>
      <c r="L37" s="10"/>
      <c r="M37" s="106">
        <v>44104</v>
      </c>
      <c r="N37" s="108">
        <f t="shared" si="1"/>
        <v>296749.19345653546</v>
      </c>
      <c r="O37" s="170">
        <v>6</v>
      </c>
      <c r="P37" s="184">
        <f t="shared" si="3"/>
        <v>291557.80801262968</v>
      </c>
      <c r="S37" s="272"/>
      <c r="T37" s="272"/>
      <c r="U37" s="272"/>
      <c r="V37" s="272"/>
      <c r="W37" s="273"/>
      <c r="X37" s="273"/>
    </row>
    <row r="38" spans="1:24" ht="15.75" x14ac:dyDescent="0.25">
      <c r="A38" s="150"/>
      <c r="B38" s="153"/>
      <c r="C38" s="154"/>
      <c r="H38" s="178">
        <v>44135</v>
      </c>
      <c r="I38" s="108">
        <f t="shared" si="0"/>
        <v>296749.19345653546</v>
      </c>
      <c r="J38" s="105">
        <v>8</v>
      </c>
      <c r="K38" s="109">
        <f t="shared" si="2"/>
        <v>288732.57442725229</v>
      </c>
      <c r="L38" s="10"/>
      <c r="M38" s="106">
        <v>44135</v>
      </c>
      <c r="N38" s="108">
        <f t="shared" si="1"/>
        <v>296749.19345653546</v>
      </c>
      <c r="O38" s="170">
        <v>7</v>
      </c>
      <c r="P38" s="184">
        <f t="shared" si="3"/>
        <v>290701.44999119721</v>
      </c>
      <c r="Q38" s="2"/>
      <c r="R38" s="251"/>
    </row>
    <row r="39" spans="1:24" ht="15.75" x14ac:dyDescent="0.25">
      <c r="A39" s="150"/>
      <c r="B39" s="153"/>
      <c r="C39" s="154"/>
      <c r="F39" s="147"/>
      <c r="G39" s="168"/>
      <c r="H39" s="178">
        <v>44165</v>
      </c>
      <c r="I39" s="108">
        <f t="shared" si="0"/>
        <v>296749.19345653546</v>
      </c>
      <c r="J39" s="105">
        <v>9</v>
      </c>
      <c r="K39" s="109">
        <f t="shared" si="2"/>
        <v>287745.84596380143</v>
      </c>
      <c r="L39" s="10"/>
      <c r="M39" s="106">
        <v>44165</v>
      </c>
      <c r="N39" s="108">
        <f t="shared" si="1"/>
        <v>296749.19345653546</v>
      </c>
      <c r="O39" s="170">
        <v>8</v>
      </c>
      <c r="P39" s="184">
        <f t="shared" si="3"/>
        <v>289847.60724817857</v>
      </c>
      <c r="Q39" s="2"/>
      <c r="R39" s="251"/>
    </row>
    <row r="40" spans="1:24" ht="16.5" thickBot="1" x14ac:dyDescent="0.3">
      <c r="A40" s="150"/>
      <c r="B40" s="153"/>
      <c r="C40" s="154"/>
      <c r="G40" s="169"/>
      <c r="H40" s="178">
        <v>44196</v>
      </c>
      <c r="I40" s="108">
        <f>+($D$17*D19)+D17</f>
        <v>69742178.79345654</v>
      </c>
      <c r="J40" s="105">
        <v>10</v>
      </c>
      <c r="K40" s="195">
        <f t="shared" si="2"/>
        <v>67395097.481192037</v>
      </c>
      <c r="L40" s="10"/>
      <c r="M40" s="106">
        <v>44196</v>
      </c>
      <c r="N40" s="108">
        <f>+($D$17*$D$19)+D17</f>
        <v>69742178.79345654</v>
      </c>
      <c r="O40" s="170">
        <v>9</v>
      </c>
      <c r="P40" s="184">
        <f t="shared" si="3"/>
        <v>67920082.495586321</v>
      </c>
      <c r="Q40" s="2"/>
      <c r="R40" s="251"/>
    </row>
    <row r="41" spans="1:24" ht="18.75" thickBot="1" x14ac:dyDescent="0.3">
      <c r="A41" s="150"/>
      <c r="B41" s="153"/>
      <c r="C41" s="154"/>
      <c r="G41" s="169"/>
      <c r="H41" s="185"/>
      <c r="I41" s="186"/>
      <c r="J41" s="186"/>
      <c r="K41" s="196">
        <f>+SUM(K30:K40)</f>
        <v>70020618.013702601</v>
      </c>
      <c r="L41" s="186"/>
      <c r="M41" s="186"/>
      <c r="N41" s="186"/>
      <c r="O41" s="186"/>
      <c r="P41" s="196">
        <f>+SUM(P30:P40)</f>
        <v>70262912.325862944</v>
      </c>
      <c r="Q41" s="2"/>
    </row>
    <row r="42" spans="1:24" ht="15.75" x14ac:dyDescent="0.25">
      <c r="A42" s="150"/>
      <c r="B42" s="153"/>
      <c r="C42" s="154"/>
      <c r="G42" s="168"/>
      <c r="J42" s="173"/>
      <c r="K42" s="173"/>
      <c r="P42" s="147"/>
    </row>
    <row r="43" spans="1:24" ht="15.75" x14ac:dyDescent="0.25">
      <c r="A43" s="150"/>
      <c r="B43" s="153"/>
      <c r="C43" s="154"/>
      <c r="H43" s="111" t="s">
        <v>196</v>
      </c>
      <c r="Q43" s="111" t="s">
        <v>197</v>
      </c>
    </row>
    <row r="44" spans="1:24" ht="15.75" x14ac:dyDescent="0.25">
      <c r="A44" s="150"/>
      <c r="B44" s="153"/>
      <c r="C44" s="154"/>
      <c r="H44" s="279" t="s">
        <v>34</v>
      </c>
      <c r="I44" s="349" t="s">
        <v>44</v>
      </c>
      <c r="J44" s="349"/>
      <c r="K44" s="349"/>
      <c r="L44" s="349"/>
      <c r="M44" s="349"/>
      <c r="N44" s="50" t="s">
        <v>46</v>
      </c>
      <c r="O44" s="50" t="s">
        <v>47</v>
      </c>
      <c r="Q44" s="279" t="s">
        <v>34</v>
      </c>
      <c r="R44" s="349" t="s">
        <v>44</v>
      </c>
      <c r="S44" s="349"/>
      <c r="T44" s="349"/>
      <c r="U44" s="349"/>
      <c r="V44" s="349"/>
      <c r="W44" s="50" t="s">
        <v>46</v>
      </c>
      <c r="X44" s="50" t="s">
        <v>47</v>
      </c>
    </row>
    <row r="45" spans="1:24" ht="15.75" x14ac:dyDescent="0.25">
      <c r="A45" s="150"/>
      <c r="B45" s="153"/>
      <c r="C45" s="154"/>
      <c r="H45" s="325">
        <v>43890</v>
      </c>
      <c r="I45" s="350" t="s">
        <v>48</v>
      </c>
      <c r="J45" s="350"/>
      <c r="K45" s="350"/>
      <c r="L45" s="350"/>
      <c r="M45" s="350"/>
      <c r="N45" s="52"/>
      <c r="O45" s="52">
        <f>+I30</f>
        <v>296749.19345653546</v>
      </c>
      <c r="Q45" s="325">
        <v>43921</v>
      </c>
      <c r="R45" s="350" t="s">
        <v>48</v>
      </c>
      <c r="S45" s="350"/>
      <c r="T45" s="350"/>
      <c r="U45" s="350"/>
      <c r="V45" s="350"/>
      <c r="W45" s="52"/>
      <c r="X45" s="52">
        <f>+N31</f>
        <v>296749.19345653546</v>
      </c>
    </row>
    <row r="46" spans="1:24" ht="15.75" x14ac:dyDescent="0.25">
      <c r="A46" s="150"/>
      <c r="B46" s="153"/>
      <c r="C46" s="154"/>
      <c r="H46" s="325">
        <v>43890</v>
      </c>
      <c r="I46" s="350" t="s">
        <v>222</v>
      </c>
      <c r="J46" s="350"/>
      <c r="K46" s="350"/>
      <c r="L46" s="350"/>
      <c r="M46" s="350"/>
      <c r="N46" s="52">
        <f>+O45</f>
        <v>296749.19345653546</v>
      </c>
      <c r="O46" s="52"/>
      <c r="Q46" s="325">
        <v>43921</v>
      </c>
      <c r="R46" s="350" t="s">
        <v>222</v>
      </c>
      <c r="S46" s="350"/>
      <c r="T46" s="350"/>
      <c r="U46" s="350"/>
      <c r="V46" s="350"/>
      <c r="W46" s="52">
        <f>+X45</f>
        <v>296749.19345653546</v>
      </c>
      <c r="X46" s="52"/>
    </row>
    <row r="47" spans="1:24" ht="15.75" x14ac:dyDescent="0.25">
      <c r="A47" s="150"/>
      <c r="B47" s="153"/>
      <c r="C47" s="154"/>
      <c r="H47" s="326"/>
      <c r="Q47" s="326"/>
    </row>
    <row r="48" spans="1:24" ht="15.75" x14ac:dyDescent="0.25">
      <c r="A48" s="150"/>
      <c r="B48" s="153"/>
      <c r="C48" s="154"/>
      <c r="H48" s="279" t="s">
        <v>34</v>
      </c>
      <c r="I48" s="349" t="s">
        <v>44</v>
      </c>
      <c r="J48" s="349"/>
      <c r="K48" s="349"/>
      <c r="L48" s="349"/>
      <c r="M48" s="349"/>
      <c r="N48" s="50" t="s">
        <v>46</v>
      </c>
      <c r="O48" s="50" t="s">
        <v>47</v>
      </c>
      <c r="Q48" s="279" t="s">
        <v>34</v>
      </c>
      <c r="R48" s="349" t="s">
        <v>44</v>
      </c>
      <c r="S48" s="349"/>
      <c r="T48" s="349"/>
      <c r="U48" s="349"/>
      <c r="V48" s="349"/>
      <c r="W48" s="50" t="s">
        <v>46</v>
      </c>
      <c r="X48" s="50" t="s">
        <v>47</v>
      </c>
    </row>
    <row r="49" spans="1:24" ht="15.75" x14ac:dyDescent="0.25">
      <c r="A49" s="150"/>
      <c r="B49" s="153"/>
      <c r="C49" s="154"/>
      <c r="H49" s="325">
        <v>43890</v>
      </c>
      <c r="I49" s="350" t="s">
        <v>48</v>
      </c>
      <c r="J49" s="350"/>
      <c r="K49" s="350"/>
      <c r="L49" s="350"/>
      <c r="M49" s="350"/>
      <c r="N49" s="52">
        <f>+K41-(D17-O45)</f>
        <v>871937.60715912282</v>
      </c>
      <c r="O49" s="52"/>
      <c r="Q49" s="325">
        <v>43921</v>
      </c>
      <c r="R49" s="350" t="s">
        <v>48</v>
      </c>
      <c r="S49" s="350"/>
      <c r="T49" s="350"/>
      <c r="U49" s="350"/>
      <c r="V49" s="350"/>
      <c r="W49" s="276">
        <f>+P41-(I51-X45)</f>
        <v>539043.5056168735</v>
      </c>
      <c r="X49" s="199"/>
    </row>
    <row r="50" spans="1:24" ht="16.5" thickBot="1" x14ac:dyDescent="0.3">
      <c r="A50" s="150"/>
      <c r="B50" s="153"/>
      <c r="C50" s="154"/>
      <c r="H50" s="325">
        <v>43890</v>
      </c>
      <c r="I50" s="350" t="s">
        <v>187</v>
      </c>
      <c r="J50" s="350"/>
      <c r="K50" s="350"/>
      <c r="L50" s="350"/>
      <c r="M50" s="350"/>
      <c r="N50" s="52"/>
      <c r="O50" s="52">
        <f>+N49</f>
        <v>871937.60715912282</v>
      </c>
      <c r="Q50" s="325">
        <v>43921</v>
      </c>
      <c r="R50" s="350" t="s">
        <v>187</v>
      </c>
      <c r="S50" s="350"/>
      <c r="T50" s="350"/>
      <c r="U50" s="350"/>
      <c r="V50" s="350"/>
      <c r="W50" s="199"/>
      <c r="X50" s="276">
        <f>+W49</f>
        <v>539043.5056168735</v>
      </c>
    </row>
    <row r="51" spans="1:24" ht="16.5" thickBot="1" x14ac:dyDescent="0.3">
      <c r="A51" s="150"/>
      <c r="B51" s="153"/>
      <c r="C51" s="154"/>
      <c r="H51" s="275" t="s">
        <v>216</v>
      </c>
      <c r="I51" s="274">
        <f>+D17+N49-O45</f>
        <v>70020618.013702601</v>
      </c>
      <c r="Q51" s="275" t="s">
        <v>216</v>
      </c>
      <c r="R51" s="274">
        <f>+(I51+W49)-X45</f>
        <v>70262912.325862944</v>
      </c>
      <c r="S51" s="272"/>
      <c r="T51" s="272"/>
      <c r="U51" s="272"/>
      <c r="V51" s="272"/>
      <c r="W51" s="273"/>
      <c r="X51" s="273"/>
    </row>
    <row r="52" spans="1:24" ht="15.75" thickBot="1" x14ac:dyDescent="0.3"/>
    <row r="53" spans="1:24" ht="21" thickBot="1" x14ac:dyDescent="0.35">
      <c r="B53" s="341" t="s">
        <v>111</v>
      </c>
      <c r="H53" s="362" t="s">
        <v>111</v>
      </c>
      <c r="I53" s="363"/>
      <c r="J53" s="363"/>
      <c r="K53" s="363"/>
      <c r="L53" s="363"/>
      <c r="M53" s="363"/>
      <c r="N53" s="363"/>
      <c r="O53" s="363"/>
      <c r="P53" s="364"/>
    </row>
    <row r="54" spans="1:24" ht="15.75" x14ac:dyDescent="0.25">
      <c r="B54" s="246" t="s">
        <v>60</v>
      </c>
      <c r="C54" s="3"/>
      <c r="D54" s="3"/>
      <c r="E54" s="3"/>
      <c r="F54" s="3"/>
      <c r="G54" s="3"/>
      <c r="H54" s="237"/>
      <c r="I54" s="174"/>
      <c r="J54" s="174"/>
      <c r="K54" s="174"/>
      <c r="L54" s="174"/>
      <c r="M54" s="174"/>
      <c r="N54" s="174"/>
      <c r="O54" s="174"/>
      <c r="P54" s="175"/>
    </row>
    <row r="55" spans="1:24" ht="15.75" x14ac:dyDescent="0.25">
      <c r="B55" s="95" t="s">
        <v>22</v>
      </c>
      <c r="C55" s="3"/>
      <c r="D55" s="114">
        <f>+'X.2. Tabla de capitalización'!D14</f>
        <v>104168144.39999999</v>
      </c>
      <c r="E55" s="3"/>
      <c r="G55" s="3"/>
      <c r="H55" s="365" t="s">
        <v>198</v>
      </c>
      <c r="I55" s="366"/>
      <c r="J55" s="366"/>
      <c r="K55" s="366"/>
      <c r="L55" s="10"/>
      <c r="M55" s="366" t="s">
        <v>199</v>
      </c>
      <c r="N55" s="366"/>
      <c r="O55" s="366"/>
      <c r="P55" s="367"/>
      <c r="Q55" s="148"/>
    </row>
    <row r="56" spans="1:24" ht="15.75" customHeight="1" x14ac:dyDescent="0.25">
      <c r="B56" s="97" t="s">
        <v>66</v>
      </c>
      <c r="C56" s="3"/>
      <c r="D56" s="194">
        <f>+'X.3. Bonos'!B6</f>
        <v>5.6000000000000001E-2</v>
      </c>
      <c r="E56" s="190" t="s">
        <v>104</v>
      </c>
      <c r="G56" s="3"/>
      <c r="H56" s="176" t="s">
        <v>62</v>
      </c>
      <c r="I56" s="107" t="s">
        <v>63</v>
      </c>
      <c r="J56" s="107" t="s">
        <v>64</v>
      </c>
      <c r="K56" s="107" t="s">
        <v>223</v>
      </c>
      <c r="L56" s="10"/>
      <c r="M56" s="107" t="s">
        <v>62</v>
      </c>
      <c r="N56" s="107" t="s">
        <v>63</v>
      </c>
      <c r="O56" s="107" t="s">
        <v>64</v>
      </c>
      <c r="P56" s="177" t="s">
        <v>223</v>
      </c>
    </row>
    <row r="57" spans="1:24" ht="15.75" x14ac:dyDescent="0.25">
      <c r="B57" s="97"/>
      <c r="C57" s="3"/>
      <c r="D57" s="189">
        <f>+((1+D56)^(1/12))-1</f>
        <v>4.5510066248739545E-3</v>
      </c>
      <c r="E57" s="190" t="s">
        <v>107</v>
      </c>
      <c r="F57" s="188"/>
      <c r="G57" s="3"/>
      <c r="H57" s="238">
        <v>43465</v>
      </c>
      <c r="I57" s="120">
        <f>-D55</f>
        <v>-104168144.39999999</v>
      </c>
      <c r="J57" s="119"/>
      <c r="K57" s="119"/>
      <c r="L57" s="174"/>
      <c r="M57" s="121">
        <v>43465</v>
      </c>
      <c r="N57" s="120">
        <f>-D55</f>
        <v>-104168144.39999999</v>
      </c>
      <c r="O57" s="119"/>
      <c r="P57" s="239"/>
    </row>
    <row r="58" spans="1:24" ht="15.75" x14ac:dyDescent="0.25">
      <c r="B58" s="97" t="s">
        <v>68</v>
      </c>
      <c r="C58" s="3"/>
      <c r="D58" s="115" t="s">
        <v>105</v>
      </c>
      <c r="E58" s="3"/>
      <c r="F58" s="188"/>
      <c r="G58" s="3"/>
      <c r="H58" s="178">
        <v>43496</v>
      </c>
      <c r="I58" s="110">
        <f t="shared" ref="I58:I89" si="4">+$D$55*$D$57</f>
        <v>474069.91526522668</v>
      </c>
      <c r="J58" s="119"/>
      <c r="K58" s="119"/>
      <c r="L58" s="174"/>
      <c r="M58" s="106">
        <v>43496</v>
      </c>
      <c r="N58" s="110">
        <f t="shared" ref="N58:N89" si="5">+$D$55*$D$57</f>
        <v>474069.91526522668</v>
      </c>
      <c r="O58" s="119"/>
      <c r="P58" s="239"/>
    </row>
    <row r="59" spans="1:24" ht="15.75" x14ac:dyDescent="0.25">
      <c r="B59" s="97" t="s">
        <v>70</v>
      </c>
      <c r="C59" s="3"/>
      <c r="D59" s="116">
        <v>43465</v>
      </c>
      <c r="E59" s="3"/>
      <c r="F59" s="3"/>
      <c r="G59" s="3"/>
      <c r="H59" s="178">
        <v>43524</v>
      </c>
      <c r="I59" s="110">
        <f t="shared" si="4"/>
        <v>474069.91526522668</v>
      </c>
      <c r="J59" s="119"/>
      <c r="K59" s="119"/>
      <c r="L59" s="174"/>
      <c r="M59" s="106">
        <v>43524</v>
      </c>
      <c r="N59" s="110">
        <f t="shared" si="5"/>
        <v>474069.91526522668</v>
      </c>
      <c r="O59" s="119"/>
      <c r="P59" s="239"/>
    </row>
    <row r="60" spans="1:24" ht="15.75" x14ac:dyDescent="0.25">
      <c r="B60" s="97" t="s">
        <v>72</v>
      </c>
      <c r="C60" s="3"/>
      <c r="D60" s="116">
        <v>45291</v>
      </c>
      <c r="E60" s="3"/>
      <c r="F60" s="3"/>
      <c r="G60" s="3"/>
      <c r="H60" s="238">
        <v>43555</v>
      </c>
      <c r="I60" s="110">
        <f t="shared" si="4"/>
        <v>474069.91526522668</v>
      </c>
      <c r="J60" s="119"/>
      <c r="K60" s="119"/>
      <c r="L60" s="174"/>
      <c r="M60" s="121">
        <v>43555</v>
      </c>
      <c r="N60" s="110">
        <f t="shared" si="5"/>
        <v>474069.91526522668</v>
      </c>
      <c r="O60" s="119"/>
      <c r="P60" s="239"/>
    </row>
    <row r="61" spans="1:24" ht="15.75" x14ac:dyDescent="0.25">
      <c r="B61" s="97" t="s">
        <v>74</v>
      </c>
      <c r="C61" s="3"/>
      <c r="D61" s="117">
        <v>1</v>
      </c>
      <c r="E61" s="3"/>
      <c r="F61" s="3"/>
      <c r="G61" s="3"/>
      <c r="H61" s="178">
        <v>43585</v>
      </c>
      <c r="I61" s="110">
        <f t="shared" si="4"/>
        <v>474069.91526522668</v>
      </c>
      <c r="J61" s="119"/>
      <c r="K61" s="119"/>
      <c r="L61" s="174"/>
      <c r="M61" s="106">
        <v>43585</v>
      </c>
      <c r="N61" s="110">
        <f t="shared" si="5"/>
        <v>474069.91526522668</v>
      </c>
      <c r="O61" s="119"/>
      <c r="P61" s="239"/>
    </row>
    <row r="62" spans="1:24" ht="15.75" x14ac:dyDescent="0.25">
      <c r="B62" s="97" t="s">
        <v>75</v>
      </c>
      <c r="C62" s="3"/>
      <c r="D62" s="116">
        <v>43511</v>
      </c>
      <c r="E62" s="3"/>
      <c r="F62" s="3"/>
      <c r="G62" s="3"/>
      <c r="H62" s="178">
        <v>43616</v>
      </c>
      <c r="I62" s="110">
        <f t="shared" si="4"/>
        <v>474069.91526522668</v>
      </c>
      <c r="J62" s="119"/>
      <c r="K62" s="119"/>
      <c r="L62" s="174"/>
      <c r="M62" s="106">
        <v>43616</v>
      </c>
      <c r="N62" s="110">
        <f t="shared" si="5"/>
        <v>474069.91526522668</v>
      </c>
      <c r="O62" s="119"/>
      <c r="P62" s="239"/>
    </row>
    <row r="63" spans="1:24" ht="15.75" x14ac:dyDescent="0.25">
      <c r="B63" s="97" t="s">
        <v>79</v>
      </c>
      <c r="D63" s="189">
        <f>+((1+C66)^(1/12))-1</f>
        <v>4.5942889996275493E-3</v>
      </c>
      <c r="E63" s="118"/>
      <c r="F63" s="3"/>
      <c r="G63" s="3"/>
      <c r="H63" s="238">
        <v>43646</v>
      </c>
      <c r="I63" s="110">
        <f t="shared" si="4"/>
        <v>474069.91526522668</v>
      </c>
      <c r="J63" s="119"/>
      <c r="K63" s="119"/>
      <c r="L63" s="174"/>
      <c r="M63" s="121">
        <v>43646</v>
      </c>
      <c r="N63" s="110">
        <f t="shared" si="5"/>
        <v>474069.91526522668</v>
      </c>
      <c r="O63" s="119"/>
      <c r="P63" s="239"/>
    </row>
    <row r="64" spans="1:24" ht="15.75" x14ac:dyDescent="0.25">
      <c r="B64" s="3"/>
      <c r="C64" s="3"/>
      <c r="D64" s="189"/>
      <c r="E64" s="3"/>
      <c r="F64" s="3"/>
      <c r="G64" s="3"/>
      <c r="H64" s="178">
        <v>43677</v>
      </c>
      <c r="I64" s="110">
        <f t="shared" si="4"/>
        <v>474069.91526522668</v>
      </c>
      <c r="J64" s="119"/>
      <c r="K64" s="119"/>
      <c r="L64" s="174"/>
      <c r="M64" s="106">
        <v>43677</v>
      </c>
      <c r="N64" s="110">
        <f t="shared" si="5"/>
        <v>474069.91526522668</v>
      </c>
      <c r="O64" s="119"/>
      <c r="P64" s="239"/>
    </row>
    <row r="65" spans="2:22" ht="15.75" x14ac:dyDescent="0.25">
      <c r="B65" s="3"/>
      <c r="C65" s="3"/>
      <c r="D65" s="3"/>
      <c r="E65" s="3"/>
      <c r="F65" s="3"/>
      <c r="G65" s="3"/>
      <c r="H65" s="178">
        <v>43708</v>
      </c>
      <c r="I65" s="110">
        <f t="shared" si="4"/>
        <v>474069.91526522668</v>
      </c>
      <c r="J65" s="119"/>
      <c r="K65" s="119"/>
      <c r="L65" s="174"/>
      <c r="M65" s="106">
        <v>43708</v>
      </c>
      <c r="N65" s="110">
        <f t="shared" si="5"/>
        <v>474069.91526522668</v>
      </c>
      <c r="O65" s="119"/>
      <c r="P65" s="239"/>
    </row>
    <row r="66" spans="2:22" ht="15.75" x14ac:dyDescent="0.25">
      <c r="B66" s="1" t="s">
        <v>201</v>
      </c>
      <c r="C66" s="193">
        <f>+XIRR(C68:C127,B68:B127)</f>
        <v>5.6546118855476377E-2</v>
      </c>
      <c r="H66" s="238">
        <v>43738</v>
      </c>
      <c r="I66" s="110">
        <f t="shared" si="4"/>
        <v>474069.91526522668</v>
      </c>
      <c r="J66" s="119"/>
      <c r="K66" s="119"/>
      <c r="L66" s="174"/>
      <c r="M66" s="121">
        <v>43738</v>
      </c>
      <c r="N66" s="110">
        <f t="shared" si="5"/>
        <v>474069.91526522668</v>
      </c>
      <c r="O66" s="119"/>
      <c r="P66" s="239"/>
    </row>
    <row r="67" spans="2:22" ht="15.75" x14ac:dyDescent="0.25">
      <c r="H67" s="178">
        <v>43769</v>
      </c>
      <c r="I67" s="110">
        <f t="shared" si="4"/>
        <v>474069.91526522668</v>
      </c>
      <c r="J67" s="119"/>
      <c r="K67" s="119"/>
      <c r="L67" s="174"/>
      <c r="M67" s="106">
        <v>43769</v>
      </c>
      <c r="N67" s="110">
        <f t="shared" si="5"/>
        <v>474069.91526522668</v>
      </c>
      <c r="O67" s="119"/>
      <c r="P67" s="239"/>
    </row>
    <row r="68" spans="2:22" ht="18" x14ac:dyDescent="0.25">
      <c r="B68" s="101">
        <v>43511</v>
      </c>
      <c r="C68" s="102">
        <f>-D55</f>
        <v>-104168144.39999999</v>
      </c>
      <c r="D68" s="1" t="s">
        <v>75</v>
      </c>
      <c r="H68" s="178">
        <v>43799</v>
      </c>
      <c r="I68" s="146">
        <f t="shared" si="4"/>
        <v>474069.91526522668</v>
      </c>
      <c r="J68" s="192"/>
      <c r="K68" s="192"/>
      <c r="L68" s="173"/>
      <c r="M68" s="106">
        <v>43799</v>
      </c>
      <c r="N68" s="146">
        <f t="shared" si="5"/>
        <v>474069.91526522668</v>
      </c>
      <c r="O68" s="192"/>
      <c r="P68" s="240"/>
      <c r="Q68" s="150"/>
      <c r="R68" s="150"/>
      <c r="S68" s="150"/>
      <c r="T68" s="150"/>
      <c r="U68" s="150"/>
      <c r="V68" s="150"/>
    </row>
    <row r="69" spans="2:22" ht="15.75" x14ac:dyDescent="0.25">
      <c r="B69" s="106">
        <v>43524</v>
      </c>
      <c r="C69" s="110">
        <f t="shared" ref="C69:C126" si="6">+$D$55*$D$57</f>
        <v>474069.91526522668</v>
      </c>
      <c r="H69" s="238">
        <v>43830</v>
      </c>
      <c r="I69" s="146">
        <f t="shared" si="4"/>
        <v>474069.91526522668</v>
      </c>
      <c r="J69" s="170"/>
      <c r="K69" s="161"/>
      <c r="L69" s="173"/>
      <c r="M69" s="121">
        <v>43830</v>
      </c>
      <c r="N69" s="146">
        <f t="shared" si="5"/>
        <v>474069.91526522668</v>
      </c>
      <c r="O69" s="170"/>
      <c r="P69" s="241"/>
      <c r="Q69" s="197"/>
      <c r="R69" s="198"/>
      <c r="S69" s="150"/>
      <c r="T69" s="150"/>
      <c r="U69" s="150"/>
      <c r="V69" s="150"/>
    </row>
    <row r="70" spans="2:22" ht="15.75" x14ac:dyDescent="0.25">
      <c r="B70" s="121">
        <v>43555</v>
      </c>
      <c r="C70" s="110">
        <f t="shared" si="6"/>
        <v>474069.91526522668</v>
      </c>
      <c r="H70" s="178">
        <v>43861</v>
      </c>
      <c r="I70" s="146">
        <f t="shared" si="4"/>
        <v>474069.91526522668</v>
      </c>
      <c r="J70" s="170"/>
      <c r="K70" s="161"/>
      <c r="L70" s="173"/>
      <c r="M70" s="106">
        <v>43861</v>
      </c>
      <c r="N70" s="146">
        <f t="shared" si="5"/>
        <v>474069.91526522668</v>
      </c>
      <c r="O70" s="170"/>
      <c r="P70" s="241"/>
      <c r="Q70" s="171"/>
      <c r="R70" s="150"/>
      <c r="S70" s="150"/>
      <c r="T70" s="150"/>
      <c r="U70" s="150"/>
      <c r="V70" s="150"/>
    </row>
    <row r="71" spans="2:22" ht="18" x14ac:dyDescent="0.25">
      <c r="B71" s="106">
        <v>43585</v>
      </c>
      <c r="C71" s="110">
        <f t="shared" si="6"/>
        <v>474069.91526522668</v>
      </c>
      <c r="F71" s="155"/>
      <c r="H71" s="180">
        <v>43890</v>
      </c>
      <c r="I71" s="146">
        <f t="shared" si="4"/>
        <v>474069.91526522668</v>
      </c>
      <c r="J71" s="157"/>
      <c r="K71" s="158"/>
      <c r="L71" s="173"/>
      <c r="M71" s="106">
        <v>43890</v>
      </c>
      <c r="N71" s="146">
        <f t="shared" si="5"/>
        <v>474069.91526522668</v>
      </c>
      <c r="O71" s="170"/>
      <c r="P71" s="241"/>
      <c r="Q71" s="171"/>
      <c r="R71" s="150"/>
      <c r="S71" s="150"/>
      <c r="T71" s="150"/>
      <c r="U71" s="150"/>
      <c r="V71" s="150"/>
    </row>
    <row r="72" spans="2:22" ht="18" x14ac:dyDescent="0.25">
      <c r="B72" s="106">
        <v>43616</v>
      </c>
      <c r="C72" s="110">
        <f t="shared" si="6"/>
        <v>474069.91526522668</v>
      </c>
      <c r="F72" s="155"/>
      <c r="H72" s="238">
        <v>43921</v>
      </c>
      <c r="I72" s="146">
        <f t="shared" si="4"/>
        <v>474069.91526522668</v>
      </c>
      <c r="J72" s="170">
        <v>1</v>
      </c>
      <c r="K72" s="161">
        <f>+I72/(1+$D$63)^J72</f>
        <v>471901.86173296318</v>
      </c>
      <c r="L72" s="173"/>
      <c r="M72" s="180">
        <v>43921</v>
      </c>
      <c r="N72" s="146">
        <f t="shared" si="5"/>
        <v>474069.91526522668</v>
      </c>
      <c r="O72" s="157"/>
      <c r="P72" s="242"/>
      <c r="Q72" s="150"/>
      <c r="R72" s="150"/>
      <c r="S72" s="150"/>
      <c r="T72" s="150"/>
      <c r="U72" s="150"/>
      <c r="V72" s="150"/>
    </row>
    <row r="73" spans="2:22" ht="15.75" x14ac:dyDescent="0.25">
      <c r="B73" s="121">
        <v>43646</v>
      </c>
      <c r="C73" s="110">
        <f t="shared" si="6"/>
        <v>474069.91526522668</v>
      </c>
      <c r="F73" s="155"/>
      <c r="H73" s="178">
        <v>43951</v>
      </c>
      <c r="I73" s="110">
        <f t="shared" si="4"/>
        <v>474069.91526522668</v>
      </c>
      <c r="J73" s="170">
        <v>2</v>
      </c>
      <c r="K73" s="161">
        <f>+I73/(1+$D$63)^J73</f>
        <v>469743.7233123054</v>
      </c>
      <c r="L73" s="174"/>
      <c r="M73" s="106">
        <v>43951</v>
      </c>
      <c r="N73" s="110">
        <f t="shared" si="5"/>
        <v>474069.91526522668</v>
      </c>
      <c r="O73" s="170">
        <v>1</v>
      </c>
      <c r="P73" s="243">
        <f t="shared" ref="P73:P95" si="7">N73/(1+$D$63)^(O73)</f>
        <v>471901.86173296318</v>
      </c>
    </row>
    <row r="74" spans="2:22" ht="15.75" x14ac:dyDescent="0.25">
      <c r="B74" s="106">
        <v>43677</v>
      </c>
      <c r="C74" s="110">
        <f t="shared" si="6"/>
        <v>474069.91526522668</v>
      </c>
      <c r="H74" s="178">
        <v>43982</v>
      </c>
      <c r="I74" s="110">
        <f t="shared" si="4"/>
        <v>474069.91526522668</v>
      </c>
      <c r="J74" s="170">
        <v>3</v>
      </c>
      <c r="K74" s="161">
        <f t="shared" ref="K74:K85" si="8">+I74/(1+$D$63)^J74</f>
        <v>467595.45465869107</v>
      </c>
      <c r="L74" s="174"/>
      <c r="M74" s="106">
        <v>43982</v>
      </c>
      <c r="N74" s="110">
        <f t="shared" si="5"/>
        <v>474069.91526522668</v>
      </c>
      <c r="O74" s="170">
        <v>2</v>
      </c>
      <c r="P74" s="243">
        <f t="shared" si="7"/>
        <v>469743.7233123054</v>
      </c>
    </row>
    <row r="75" spans="2:22" ht="15.75" x14ac:dyDescent="0.25">
      <c r="B75" s="106">
        <v>43708</v>
      </c>
      <c r="C75" s="110">
        <f t="shared" si="6"/>
        <v>474069.91526522668</v>
      </c>
      <c r="H75" s="238">
        <v>44012</v>
      </c>
      <c r="I75" s="110">
        <f t="shared" si="4"/>
        <v>474069.91526522668</v>
      </c>
      <c r="J75" s="170">
        <v>4</v>
      </c>
      <c r="K75" s="161">
        <f t="shared" si="8"/>
        <v>465457.01063493156</v>
      </c>
      <c r="L75" s="174"/>
      <c r="M75" s="121">
        <v>44012</v>
      </c>
      <c r="N75" s="110">
        <f t="shared" si="5"/>
        <v>474069.91526522668</v>
      </c>
      <c r="O75" s="170">
        <v>3</v>
      </c>
      <c r="P75" s="243">
        <f t="shared" si="7"/>
        <v>467595.45465869107</v>
      </c>
    </row>
    <row r="76" spans="2:22" ht="15.75" x14ac:dyDescent="0.25">
      <c r="B76" s="121">
        <v>43738</v>
      </c>
      <c r="C76" s="110">
        <f t="shared" si="6"/>
        <v>474069.91526522668</v>
      </c>
      <c r="H76" s="178">
        <v>44043</v>
      </c>
      <c r="I76" s="110">
        <f t="shared" si="4"/>
        <v>474069.91526522668</v>
      </c>
      <c r="J76" s="170">
        <v>5</v>
      </c>
      <c r="K76" s="161">
        <f t="shared" si="8"/>
        <v>463328.34631026268</v>
      </c>
      <c r="L76" s="174"/>
      <c r="M76" s="106">
        <v>44043</v>
      </c>
      <c r="N76" s="110">
        <f t="shared" si="5"/>
        <v>474069.91526522668</v>
      </c>
      <c r="O76" s="170">
        <v>4</v>
      </c>
      <c r="P76" s="243">
        <f t="shared" si="7"/>
        <v>465457.01063493156</v>
      </c>
    </row>
    <row r="77" spans="2:22" ht="15.75" x14ac:dyDescent="0.25">
      <c r="B77" s="106">
        <v>43769</v>
      </c>
      <c r="C77" s="110">
        <f t="shared" si="6"/>
        <v>474069.91526522668</v>
      </c>
      <c r="H77" s="178">
        <v>44074</v>
      </c>
      <c r="I77" s="110">
        <f t="shared" si="4"/>
        <v>474069.91526522668</v>
      </c>
      <c r="J77" s="170">
        <v>6</v>
      </c>
      <c r="K77" s="161">
        <f t="shared" si="8"/>
        <v>461209.41695940151</v>
      </c>
      <c r="L77" s="174"/>
      <c r="M77" s="106">
        <v>44074</v>
      </c>
      <c r="N77" s="110">
        <f t="shared" si="5"/>
        <v>474069.91526522668</v>
      </c>
      <c r="O77" s="170">
        <v>5</v>
      </c>
      <c r="P77" s="243">
        <f t="shared" si="7"/>
        <v>463328.34631026268</v>
      </c>
    </row>
    <row r="78" spans="2:22" ht="15.75" x14ac:dyDescent="0.25">
      <c r="B78" s="106">
        <v>43799</v>
      </c>
      <c r="C78" s="110">
        <f t="shared" si="6"/>
        <v>474069.91526522668</v>
      </c>
      <c r="H78" s="238">
        <v>44104</v>
      </c>
      <c r="I78" s="110">
        <f t="shared" si="4"/>
        <v>474069.91526522668</v>
      </c>
      <c r="J78" s="170">
        <v>7</v>
      </c>
      <c r="K78" s="161">
        <f t="shared" si="8"/>
        <v>459100.17806160601</v>
      </c>
      <c r="L78" s="174"/>
      <c r="M78" s="121">
        <v>44104</v>
      </c>
      <c r="N78" s="110">
        <f t="shared" si="5"/>
        <v>474069.91526522668</v>
      </c>
      <c r="O78" s="170">
        <v>6</v>
      </c>
      <c r="P78" s="243">
        <f t="shared" si="7"/>
        <v>461209.41695940151</v>
      </c>
    </row>
    <row r="79" spans="2:22" ht="15.75" x14ac:dyDescent="0.25">
      <c r="B79" s="121">
        <v>43830</v>
      </c>
      <c r="C79" s="110">
        <f t="shared" si="6"/>
        <v>474069.91526522668</v>
      </c>
      <c r="H79" s="178">
        <v>44135</v>
      </c>
      <c r="I79" s="110">
        <f t="shared" si="4"/>
        <v>474069.91526522668</v>
      </c>
      <c r="J79" s="170">
        <v>8</v>
      </c>
      <c r="K79" s="161">
        <f t="shared" si="8"/>
        <v>457000.5852997402</v>
      </c>
      <c r="L79" s="174"/>
      <c r="M79" s="106">
        <v>44135</v>
      </c>
      <c r="N79" s="110">
        <f t="shared" si="5"/>
        <v>474069.91526522668</v>
      </c>
      <c r="O79" s="170">
        <v>7</v>
      </c>
      <c r="P79" s="243">
        <f t="shared" si="7"/>
        <v>459100.17806160601</v>
      </c>
    </row>
    <row r="80" spans="2:22" ht="15.75" x14ac:dyDescent="0.25">
      <c r="B80" s="106">
        <v>43861</v>
      </c>
      <c r="C80" s="110">
        <f t="shared" si="6"/>
        <v>474069.91526522668</v>
      </c>
      <c r="H80" s="238">
        <v>44165</v>
      </c>
      <c r="I80" s="110">
        <f t="shared" si="4"/>
        <v>474069.91526522668</v>
      </c>
      <c r="J80" s="170">
        <v>9</v>
      </c>
      <c r="K80" s="161">
        <f t="shared" si="8"/>
        <v>454910.59455934213</v>
      </c>
      <c r="L80" s="174"/>
      <c r="M80" s="121">
        <v>44165</v>
      </c>
      <c r="N80" s="110">
        <f t="shared" si="5"/>
        <v>474069.91526522668</v>
      </c>
      <c r="O80" s="170">
        <v>8</v>
      </c>
      <c r="P80" s="243">
        <f t="shared" si="7"/>
        <v>457000.5852997402</v>
      </c>
    </row>
    <row r="81" spans="2:24" ht="15.75" x14ac:dyDescent="0.25">
      <c r="B81" s="106">
        <v>43890</v>
      </c>
      <c r="C81" s="110">
        <f t="shared" si="6"/>
        <v>474069.91526522668</v>
      </c>
      <c r="H81" s="178">
        <v>44196</v>
      </c>
      <c r="I81" s="110">
        <f t="shared" si="4"/>
        <v>474069.91526522668</v>
      </c>
      <c r="J81" s="170">
        <v>10</v>
      </c>
      <c r="K81" s="161">
        <f t="shared" si="8"/>
        <v>452830.16192769824</v>
      </c>
      <c r="L81" s="174"/>
      <c r="M81" s="106">
        <v>44196</v>
      </c>
      <c r="N81" s="110">
        <f t="shared" si="5"/>
        <v>474069.91526522668</v>
      </c>
      <c r="O81" s="170">
        <v>9</v>
      </c>
      <c r="P81" s="243">
        <f t="shared" si="7"/>
        <v>454910.59455934213</v>
      </c>
    </row>
    <row r="82" spans="2:24" ht="15.75" x14ac:dyDescent="0.25">
      <c r="B82" s="121">
        <v>43921</v>
      </c>
      <c r="C82" s="110">
        <f t="shared" si="6"/>
        <v>474069.91526522668</v>
      </c>
      <c r="H82" s="178">
        <v>44227</v>
      </c>
      <c r="I82" s="110">
        <f t="shared" si="4"/>
        <v>474069.91526522668</v>
      </c>
      <c r="J82" s="170">
        <v>11</v>
      </c>
      <c r="K82" s="161">
        <f t="shared" si="8"/>
        <v>450759.24369291938</v>
      </c>
      <c r="L82" s="174"/>
      <c r="M82" s="106">
        <v>44227</v>
      </c>
      <c r="N82" s="110">
        <f t="shared" si="5"/>
        <v>474069.91526522668</v>
      </c>
      <c r="O82" s="170">
        <v>10</v>
      </c>
      <c r="P82" s="243">
        <f t="shared" si="7"/>
        <v>452830.16192769824</v>
      </c>
    </row>
    <row r="83" spans="2:24" ht="15.75" x14ac:dyDescent="0.25">
      <c r="B83" s="106">
        <v>43951</v>
      </c>
      <c r="C83" s="110">
        <f t="shared" si="6"/>
        <v>474069.91526522668</v>
      </c>
      <c r="H83" s="238">
        <v>44255</v>
      </c>
      <c r="I83" s="110">
        <f t="shared" si="4"/>
        <v>474069.91526522668</v>
      </c>
      <c r="J83" s="170">
        <v>12</v>
      </c>
      <c r="K83" s="161">
        <f t="shared" si="8"/>
        <v>448697.79634302354</v>
      </c>
      <c r="L83" s="174"/>
      <c r="M83" s="121">
        <v>44255</v>
      </c>
      <c r="N83" s="110">
        <f t="shared" si="5"/>
        <v>474069.91526522668</v>
      </c>
      <c r="O83" s="170">
        <v>11</v>
      </c>
      <c r="P83" s="243">
        <f t="shared" si="7"/>
        <v>450759.24369291938</v>
      </c>
    </row>
    <row r="84" spans="2:24" ht="15.75" x14ac:dyDescent="0.25">
      <c r="B84" s="106">
        <v>43982</v>
      </c>
      <c r="C84" s="110">
        <f t="shared" si="6"/>
        <v>474069.91526522668</v>
      </c>
      <c r="H84" s="178">
        <v>44286</v>
      </c>
      <c r="I84" s="110">
        <f t="shared" si="4"/>
        <v>474069.91526522668</v>
      </c>
      <c r="J84" s="170">
        <v>13</v>
      </c>
      <c r="K84" s="161">
        <f t="shared" si="8"/>
        <v>446645.77656502085</v>
      </c>
      <c r="L84" s="174"/>
      <c r="M84" s="106">
        <v>44286</v>
      </c>
      <c r="N84" s="110">
        <f t="shared" si="5"/>
        <v>474069.91526522668</v>
      </c>
      <c r="O84" s="170">
        <v>12</v>
      </c>
      <c r="P84" s="243">
        <f t="shared" si="7"/>
        <v>448697.79634302354</v>
      </c>
    </row>
    <row r="85" spans="2:24" ht="15.75" x14ac:dyDescent="0.25">
      <c r="B85" s="121">
        <v>44012</v>
      </c>
      <c r="C85" s="110">
        <f t="shared" si="6"/>
        <v>474069.91526522668</v>
      </c>
      <c r="H85" s="178">
        <v>44316</v>
      </c>
      <c r="I85" s="110">
        <f t="shared" si="4"/>
        <v>474069.91526522668</v>
      </c>
      <c r="J85" s="170">
        <v>14</v>
      </c>
      <c r="K85" s="161">
        <f t="shared" si="8"/>
        <v>444603.14124400361</v>
      </c>
      <c r="L85" s="174"/>
      <c r="M85" s="106">
        <v>44316</v>
      </c>
      <c r="N85" s="110">
        <f t="shared" si="5"/>
        <v>474069.91526522668</v>
      </c>
      <c r="O85" s="170">
        <v>13</v>
      </c>
      <c r="P85" s="243">
        <f t="shared" si="7"/>
        <v>446645.77656502085</v>
      </c>
    </row>
    <row r="86" spans="2:24" ht="15.75" x14ac:dyDescent="0.25">
      <c r="B86" s="106">
        <v>44043</v>
      </c>
      <c r="C86" s="110">
        <f t="shared" si="6"/>
        <v>474069.91526522668</v>
      </c>
      <c r="H86" s="238">
        <v>44347</v>
      </c>
      <c r="I86" s="110">
        <f t="shared" si="4"/>
        <v>474069.91526522668</v>
      </c>
      <c r="J86" s="170">
        <v>15</v>
      </c>
      <c r="K86" s="161">
        <f t="shared" ref="K86:K117" si="9">+I86/(1+$D$63)^J86</f>
        <v>442569.84746224101</v>
      </c>
      <c r="L86" s="174"/>
      <c r="M86" s="121">
        <v>44347</v>
      </c>
      <c r="N86" s="110">
        <f t="shared" si="5"/>
        <v>474069.91526522668</v>
      </c>
      <c r="O86" s="170">
        <v>14</v>
      </c>
      <c r="P86" s="243">
        <f t="shared" si="7"/>
        <v>444603.14124400361</v>
      </c>
    </row>
    <row r="87" spans="2:24" ht="15.75" x14ac:dyDescent="0.25">
      <c r="B87" s="106">
        <v>44074</v>
      </c>
      <c r="C87" s="110">
        <f t="shared" si="6"/>
        <v>474069.91526522668</v>
      </c>
      <c r="H87" s="178">
        <v>44377</v>
      </c>
      <c r="I87" s="110">
        <f t="shared" si="4"/>
        <v>474069.91526522668</v>
      </c>
      <c r="J87" s="170">
        <v>16</v>
      </c>
      <c r="K87" s="161">
        <f t="shared" si="9"/>
        <v>440545.85249827674</v>
      </c>
      <c r="L87" s="174"/>
      <c r="M87" s="106">
        <v>44377</v>
      </c>
      <c r="N87" s="110">
        <f t="shared" si="5"/>
        <v>474069.91526522668</v>
      </c>
      <c r="O87" s="170">
        <v>15</v>
      </c>
      <c r="P87" s="243">
        <f t="shared" si="7"/>
        <v>442569.84746224101</v>
      </c>
    </row>
    <row r="88" spans="2:24" ht="15.75" x14ac:dyDescent="0.25">
      <c r="B88" s="121">
        <v>44104</v>
      </c>
      <c r="C88" s="110">
        <f t="shared" si="6"/>
        <v>474069.91526522668</v>
      </c>
      <c r="H88" s="178">
        <v>44408</v>
      </c>
      <c r="I88" s="110">
        <f t="shared" si="4"/>
        <v>474069.91526522668</v>
      </c>
      <c r="J88" s="170">
        <v>17</v>
      </c>
      <c r="K88" s="161">
        <f t="shared" si="9"/>
        <v>438531.11382603139</v>
      </c>
      <c r="L88" s="174"/>
      <c r="M88" s="106">
        <v>44408</v>
      </c>
      <c r="N88" s="110">
        <f t="shared" si="5"/>
        <v>474069.91526522668</v>
      </c>
      <c r="O88" s="170">
        <v>16</v>
      </c>
      <c r="P88" s="243">
        <f t="shared" si="7"/>
        <v>440545.85249827674</v>
      </c>
    </row>
    <row r="89" spans="2:24" ht="15.75" x14ac:dyDescent="0.25">
      <c r="B89" s="106">
        <v>44135</v>
      </c>
      <c r="C89" s="110">
        <f t="shared" si="6"/>
        <v>474069.91526522668</v>
      </c>
      <c r="H89" s="238">
        <v>44439</v>
      </c>
      <c r="I89" s="110">
        <f t="shared" si="4"/>
        <v>474069.91526522668</v>
      </c>
      <c r="J89" s="170">
        <v>18</v>
      </c>
      <c r="K89" s="161">
        <f t="shared" si="9"/>
        <v>436525.58911390946</v>
      </c>
      <c r="L89" s="174"/>
      <c r="M89" s="121">
        <v>44439</v>
      </c>
      <c r="N89" s="110">
        <f t="shared" si="5"/>
        <v>474069.91526522668</v>
      </c>
      <c r="O89" s="170">
        <v>17</v>
      </c>
      <c r="P89" s="243">
        <f t="shared" si="7"/>
        <v>438531.11382603139</v>
      </c>
    </row>
    <row r="90" spans="2:24" ht="15.75" x14ac:dyDescent="0.25">
      <c r="B90" s="121">
        <v>44165</v>
      </c>
      <c r="C90" s="110">
        <f t="shared" si="6"/>
        <v>474069.91526522668</v>
      </c>
      <c r="H90" s="178">
        <v>44469</v>
      </c>
      <c r="I90" s="110">
        <f t="shared" ref="I90:I116" si="10">+$D$55*$D$57</f>
        <v>474069.91526522668</v>
      </c>
      <c r="J90" s="170">
        <v>19</v>
      </c>
      <c r="K90" s="161">
        <f t="shared" si="9"/>
        <v>434529.23622390936</v>
      </c>
      <c r="L90" s="174"/>
      <c r="M90" s="106">
        <v>44469</v>
      </c>
      <c r="N90" s="110">
        <f t="shared" ref="N90:N116" si="11">+$D$55*$D$57</f>
        <v>474069.91526522668</v>
      </c>
      <c r="O90" s="170">
        <v>18</v>
      </c>
      <c r="P90" s="243">
        <f t="shared" si="7"/>
        <v>436525.58911390946</v>
      </c>
    </row>
    <row r="91" spans="2:24" ht="15.75" x14ac:dyDescent="0.25">
      <c r="B91" s="106">
        <v>44196</v>
      </c>
      <c r="C91" s="110">
        <f t="shared" si="6"/>
        <v>474069.91526522668</v>
      </c>
      <c r="H91" s="178">
        <v>44500</v>
      </c>
      <c r="I91" s="110">
        <f t="shared" si="10"/>
        <v>474069.91526522668</v>
      </c>
      <c r="J91" s="170">
        <v>20</v>
      </c>
      <c r="K91" s="161">
        <f t="shared" si="9"/>
        <v>432542.0132107386</v>
      </c>
      <c r="L91" s="174"/>
      <c r="M91" s="106">
        <v>44500</v>
      </c>
      <c r="N91" s="110">
        <f t="shared" si="11"/>
        <v>474069.91526522668</v>
      </c>
      <c r="O91" s="170">
        <v>19</v>
      </c>
      <c r="P91" s="243">
        <f t="shared" si="7"/>
        <v>434529.23622390936</v>
      </c>
    </row>
    <row r="92" spans="2:24" ht="15.75" x14ac:dyDescent="0.25">
      <c r="B92" s="106">
        <v>44227</v>
      </c>
      <c r="C92" s="110">
        <f t="shared" si="6"/>
        <v>474069.91526522668</v>
      </c>
      <c r="H92" s="238">
        <v>44530</v>
      </c>
      <c r="I92" s="110">
        <f t="shared" si="10"/>
        <v>474069.91526522668</v>
      </c>
      <c r="J92" s="170">
        <v>21</v>
      </c>
      <c r="K92" s="161">
        <f t="shared" si="9"/>
        <v>430563.87832093175</v>
      </c>
      <c r="L92" s="174"/>
      <c r="M92" s="121">
        <v>44530</v>
      </c>
      <c r="N92" s="110">
        <f t="shared" si="11"/>
        <v>474069.91526522668</v>
      </c>
      <c r="O92" s="170">
        <v>20</v>
      </c>
      <c r="P92" s="243">
        <f t="shared" si="7"/>
        <v>432542.0132107386</v>
      </c>
    </row>
    <row r="93" spans="2:24" ht="15.75" x14ac:dyDescent="0.25">
      <c r="B93" s="121">
        <v>44255</v>
      </c>
      <c r="C93" s="110">
        <f t="shared" si="6"/>
        <v>474069.91526522668</v>
      </c>
      <c r="H93" s="178">
        <v>44561</v>
      </c>
      <c r="I93" s="110">
        <f t="shared" si="10"/>
        <v>474069.91526522668</v>
      </c>
      <c r="J93" s="170">
        <v>22</v>
      </c>
      <c r="K93" s="161">
        <f t="shared" si="9"/>
        <v>428594.78999197396</v>
      </c>
      <c r="L93" s="174"/>
      <c r="M93" s="106">
        <v>44561</v>
      </c>
      <c r="N93" s="110">
        <f t="shared" si="11"/>
        <v>474069.91526522668</v>
      </c>
      <c r="O93" s="170">
        <v>21</v>
      </c>
      <c r="P93" s="243">
        <f t="shared" si="7"/>
        <v>430563.87832093175</v>
      </c>
    </row>
    <row r="94" spans="2:24" ht="15.75" x14ac:dyDescent="0.25">
      <c r="B94" s="106">
        <v>44286</v>
      </c>
      <c r="C94" s="110">
        <f t="shared" si="6"/>
        <v>474069.91526522668</v>
      </c>
      <c r="H94" s="238">
        <v>44592</v>
      </c>
      <c r="I94" s="110">
        <f t="shared" si="10"/>
        <v>474069.91526522668</v>
      </c>
      <c r="J94" s="170">
        <v>23</v>
      </c>
      <c r="K94" s="161">
        <f t="shared" si="9"/>
        <v>426634.70685142715</v>
      </c>
      <c r="L94" s="174"/>
      <c r="M94" s="121">
        <v>44592</v>
      </c>
      <c r="N94" s="110">
        <f t="shared" si="11"/>
        <v>474069.91526522668</v>
      </c>
      <c r="O94" s="170">
        <v>22</v>
      </c>
      <c r="P94" s="243">
        <f t="shared" si="7"/>
        <v>428594.78999197396</v>
      </c>
    </row>
    <row r="95" spans="2:24" ht="15.75" x14ac:dyDescent="0.25">
      <c r="B95" s="106">
        <v>44316</v>
      </c>
      <c r="C95" s="110">
        <f t="shared" si="6"/>
        <v>474069.91526522668</v>
      </c>
      <c r="H95" s="178">
        <v>44620</v>
      </c>
      <c r="I95" s="110">
        <f t="shared" si="10"/>
        <v>474069.91526522668</v>
      </c>
      <c r="J95" s="170">
        <v>24</v>
      </c>
      <c r="K95" s="161">
        <f t="shared" si="9"/>
        <v>424683.58771606092</v>
      </c>
      <c r="L95" s="173"/>
      <c r="M95" s="106">
        <v>44620</v>
      </c>
      <c r="N95" s="110">
        <f t="shared" si="11"/>
        <v>474069.91526522668</v>
      </c>
      <c r="O95" s="170">
        <v>23</v>
      </c>
      <c r="P95" s="243">
        <f t="shared" si="7"/>
        <v>426634.70685142715</v>
      </c>
      <c r="Q95" s="150"/>
      <c r="R95" s="150"/>
      <c r="S95" s="150"/>
      <c r="T95" s="150"/>
      <c r="U95" s="150"/>
      <c r="V95" s="150"/>
      <c r="W95" s="150"/>
      <c r="X95" s="150"/>
    </row>
    <row r="96" spans="2:24" ht="15.75" x14ac:dyDescent="0.25">
      <c r="B96" s="121">
        <v>44347</v>
      </c>
      <c r="C96" s="110">
        <f t="shared" si="6"/>
        <v>474069.91526522668</v>
      </c>
      <c r="H96" s="178">
        <v>44651</v>
      </c>
      <c r="I96" s="110">
        <f t="shared" si="10"/>
        <v>474069.91526522668</v>
      </c>
      <c r="J96" s="170">
        <v>25</v>
      </c>
      <c r="K96" s="161">
        <f t="shared" si="9"/>
        <v>422741.39159098722</v>
      </c>
      <c r="L96" s="173"/>
      <c r="M96" s="106">
        <v>44651</v>
      </c>
      <c r="N96" s="110">
        <f t="shared" si="11"/>
        <v>474069.91526522668</v>
      </c>
      <c r="O96" s="170">
        <v>24</v>
      </c>
      <c r="P96" s="243">
        <f t="shared" ref="P96:P116" si="12">N96/(1+$D$63)^(O96)</f>
        <v>424683.58771606092</v>
      </c>
      <c r="Q96" s="150"/>
      <c r="R96" s="150"/>
      <c r="S96" s="150"/>
      <c r="T96" s="150"/>
      <c r="U96" s="150"/>
      <c r="V96" s="150"/>
      <c r="W96" s="150"/>
      <c r="X96" s="150"/>
    </row>
    <row r="97" spans="2:24" ht="15.75" x14ac:dyDescent="0.25">
      <c r="B97" s="106">
        <v>44377</v>
      </c>
      <c r="C97" s="110">
        <f t="shared" si="6"/>
        <v>474069.91526522668</v>
      </c>
      <c r="H97" s="238">
        <v>44681</v>
      </c>
      <c r="I97" s="110">
        <f t="shared" si="10"/>
        <v>474069.91526522668</v>
      </c>
      <c r="J97" s="170">
        <v>26</v>
      </c>
      <c r="K97" s="161">
        <f t="shared" si="9"/>
        <v>420808.07766879909</v>
      </c>
      <c r="L97" s="173"/>
      <c r="M97" s="121">
        <v>44681</v>
      </c>
      <c r="N97" s="110">
        <f t="shared" si="11"/>
        <v>474069.91526522668</v>
      </c>
      <c r="O97" s="170">
        <v>25</v>
      </c>
      <c r="P97" s="243">
        <f t="shared" si="12"/>
        <v>422741.39159098722</v>
      </c>
      <c r="Q97" s="150"/>
      <c r="R97" s="150"/>
      <c r="S97" s="150"/>
      <c r="T97" s="150"/>
      <c r="U97" s="150"/>
      <c r="V97" s="150"/>
      <c r="W97" s="150"/>
      <c r="X97" s="150"/>
    </row>
    <row r="98" spans="2:24" ht="15.75" x14ac:dyDescent="0.25">
      <c r="B98" s="106">
        <v>44408</v>
      </c>
      <c r="C98" s="110">
        <f t="shared" si="6"/>
        <v>474069.91526522668</v>
      </c>
      <c r="H98" s="178">
        <v>44712</v>
      </c>
      <c r="I98" s="110">
        <f t="shared" si="10"/>
        <v>474069.91526522668</v>
      </c>
      <c r="J98" s="170">
        <v>27</v>
      </c>
      <c r="K98" s="161">
        <f t="shared" si="9"/>
        <v>418883.60532871302</v>
      </c>
      <c r="L98" s="173"/>
      <c r="M98" s="106">
        <v>44712</v>
      </c>
      <c r="N98" s="110">
        <f t="shared" si="11"/>
        <v>474069.91526522668</v>
      </c>
      <c r="O98" s="170">
        <v>26</v>
      </c>
      <c r="P98" s="243">
        <f t="shared" si="12"/>
        <v>420808.07766879909</v>
      </c>
      <c r="Q98" s="150"/>
      <c r="R98" s="150"/>
      <c r="S98" s="150"/>
      <c r="T98" s="150"/>
      <c r="U98" s="150"/>
      <c r="V98" s="150"/>
      <c r="W98" s="150"/>
      <c r="X98" s="150"/>
    </row>
    <row r="99" spans="2:24" ht="15.75" x14ac:dyDescent="0.25">
      <c r="B99" s="121">
        <v>44439</v>
      </c>
      <c r="C99" s="110">
        <f t="shared" si="6"/>
        <v>474069.91526522668</v>
      </c>
      <c r="H99" s="178">
        <v>44742</v>
      </c>
      <c r="I99" s="110">
        <f t="shared" si="10"/>
        <v>474069.91526522668</v>
      </c>
      <c r="J99" s="170">
        <v>28</v>
      </c>
      <c r="K99" s="161">
        <f t="shared" si="9"/>
        <v>416967.93413571594</v>
      </c>
      <c r="L99" s="173"/>
      <c r="M99" s="106">
        <v>44742</v>
      </c>
      <c r="N99" s="110">
        <f t="shared" si="11"/>
        <v>474069.91526522668</v>
      </c>
      <c r="O99" s="170">
        <v>27</v>
      </c>
      <c r="P99" s="243">
        <f t="shared" si="12"/>
        <v>418883.60532871302</v>
      </c>
      <c r="Q99" s="150"/>
      <c r="R99" s="150"/>
      <c r="S99" s="150"/>
      <c r="T99" s="150"/>
      <c r="U99" s="150"/>
      <c r="V99" s="150"/>
      <c r="W99" s="150"/>
      <c r="X99" s="150"/>
    </row>
    <row r="100" spans="2:24" ht="15.75" x14ac:dyDescent="0.25">
      <c r="B100" s="106">
        <v>44469</v>
      </c>
      <c r="C100" s="110">
        <f t="shared" si="6"/>
        <v>474069.91526522668</v>
      </c>
      <c r="H100" s="238">
        <v>44773</v>
      </c>
      <c r="I100" s="110">
        <f t="shared" si="10"/>
        <v>474069.91526522668</v>
      </c>
      <c r="J100" s="170">
        <v>29</v>
      </c>
      <c r="K100" s="161">
        <f t="shared" si="9"/>
        <v>415061.02383971505</v>
      </c>
      <c r="L100" s="173"/>
      <c r="M100" s="121">
        <v>44773</v>
      </c>
      <c r="N100" s="110">
        <f t="shared" si="11"/>
        <v>474069.91526522668</v>
      </c>
      <c r="O100" s="170">
        <v>28</v>
      </c>
      <c r="P100" s="243">
        <f t="shared" si="12"/>
        <v>416967.93413571594</v>
      </c>
      <c r="Q100" s="150"/>
      <c r="R100" s="150"/>
      <c r="S100" s="150"/>
      <c r="T100" s="150"/>
      <c r="U100" s="150"/>
      <c r="V100" s="150"/>
      <c r="W100" s="150"/>
      <c r="X100" s="150"/>
    </row>
    <row r="101" spans="2:24" ht="15.75" x14ac:dyDescent="0.25">
      <c r="B101" s="106">
        <v>44500</v>
      </c>
      <c r="C101" s="110">
        <f t="shared" si="6"/>
        <v>474069.91526522668</v>
      </c>
      <c r="H101" s="178">
        <v>44804</v>
      </c>
      <c r="I101" s="110">
        <f t="shared" si="10"/>
        <v>474069.91526522668</v>
      </c>
      <c r="J101" s="170">
        <v>30</v>
      </c>
      <c r="K101" s="161">
        <f t="shared" si="9"/>
        <v>413162.83437469241</v>
      </c>
      <c r="L101" s="173"/>
      <c r="M101" s="106">
        <v>44804</v>
      </c>
      <c r="N101" s="110">
        <f t="shared" si="11"/>
        <v>474069.91526522668</v>
      </c>
      <c r="O101" s="170">
        <v>29</v>
      </c>
      <c r="P101" s="243">
        <f t="shared" si="12"/>
        <v>415061.02383971505</v>
      </c>
      <c r="Q101" s="150"/>
      <c r="R101" s="150"/>
      <c r="S101" s="150"/>
      <c r="T101" s="150"/>
      <c r="U101" s="150"/>
      <c r="V101" s="150"/>
      <c r="W101" s="150"/>
      <c r="X101" s="150"/>
    </row>
    <row r="102" spans="2:24" ht="15.75" x14ac:dyDescent="0.25">
      <c r="B102" s="121">
        <v>44530</v>
      </c>
      <c r="C102" s="110">
        <f t="shared" si="6"/>
        <v>474069.91526522668</v>
      </c>
      <c r="H102" s="238">
        <v>44834</v>
      </c>
      <c r="I102" s="110">
        <f t="shared" si="10"/>
        <v>474069.91526522668</v>
      </c>
      <c r="J102" s="170">
        <v>31</v>
      </c>
      <c r="K102" s="161">
        <f t="shared" si="9"/>
        <v>411273.32585786341</v>
      </c>
      <c r="L102" s="173"/>
      <c r="M102" s="121">
        <v>44834</v>
      </c>
      <c r="N102" s="110">
        <f t="shared" si="11"/>
        <v>474069.91526522668</v>
      </c>
      <c r="O102" s="170">
        <v>30</v>
      </c>
      <c r="P102" s="243">
        <f t="shared" si="12"/>
        <v>413162.83437469241</v>
      </c>
      <c r="Q102" s="150"/>
      <c r="R102" s="150"/>
      <c r="S102" s="150"/>
      <c r="T102" s="150"/>
      <c r="U102" s="150"/>
      <c r="V102" s="150"/>
      <c r="W102" s="150"/>
      <c r="X102" s="150"/>
    </row>
    <row r="103" spans="2:24" ht="15.75" x14ac:dyDescent="0.25">
      <c r="B103" s="106">
        <v>44561</v>
      </c>
      <c r="C103" s="110">
        <f t="shared" si="6"/>
        <v>474069.91526522668</v>
      </c>
      <c r="H103" s="178">
        <v>44865</v>
      </c>
      <c r="I103" s="110">
        <f t="shared" si="10"/>
        <v>474069.91526522668</v>
      </c>
      <c r="J103" s="170">
        <v>32</v>
      </c>
      <c r="K103" s="161">
        <f t="shared" si="9"/>
        <v>409392.45858883829</v>
      </c>
      <c r="L103" s="173"/>
      <c r="M103" s="106">
        <v>44865</v>
      </c>
      <c r="N103" s="110">
        <f t="shared" si="11"/>
        <v>474069.91526522668</v>
      </c>
      <c r="O103" s="170">
        <v>31</v>
      </c>
      <c r="P103" s="243">
        <f t="shared" si="12"/>
        <v>411273.32585786341</v>
      </c>
      <c r="Q103" s="150"/>
      <c r="R103" s="150"/>
      <c r="S103" s="150"/>
      <c r="T103" s="150"/>
      <c r="U103" s="150"/>
      <c r="V103" s="150"/>
      <c r="W103" s="150"/>
      <c r="X103" s="150"/>
    </row>
    <row r="104" spans="2:24" ht="15.75" x14ac:dyDescent="0.25">
      <c r="B104" s="121">
        <v>44592</v>
      </c>
      <c r="C104" s="110">
        <f t="shared" si="6"/>
        <v>474069.91526522668</v>
      </c>
      <c r="H104" s="178">
        <v>44895</v>
      </c>
      <c r="I104" s="110">
        <f t="shared" si="10"/>
        <v>474069.91526522668</v>
      </c>
      <c r="J104" s="170">
        <v>33</v>
      </c>
      <c r="K104" s="161">
        <f t="shared" si="9"/>
        <v>407520.19304878818</v>
      </c>
      <c r="L104" s="173"/>
      <c r="M104" s="106">
        <v>44895</v>
      </c>
      <c r="N104" s="110">
        <f t="shared" si="11"/>
        <v>474069.91526522668</v>
      </c>
      <c r="O104" s="170">
        <v>32</v>
      </c>
      <c r="P104" s="243">
        <f t="shared" si="12"/>
        <v>409392.45858883829</v>
      </c>
      <c r="Q104" s="150"/>
      <c r="R104" s="150"/>
      <c r="S104" s="150"/>
      <c r="T104" s="150"/>
      <c r="U104" s="150"/>
      <c r="V104" s="150"/>
      <c r="W104" s="150"/>
      <c r="X104" s="150"/>
    </row>
    <row r="105" spans="2:24" ht="15.75" x14ac:dyDescent="0.25">
      <c r="B105" s="106">
        <v>44620</v>
      </c>
      <c r="C105" s="110">
        <f t="shared" si="6"/>
        <v>474069.91526522668</v>
      </c>
      <c r="H105" s="238">
        <v>44926</v>
      </c>
      <c r="I105" s="110">
        <f t="shared" si="10"/>
        <v>474069.91526522668</v>
      </c>
      <c r="J105" s="170">
        <v>34</v>
      </c>
      <c r="K105" s="161">
        <f t="shared" si="9"/>
        <v>405656.48989961483</v>
      </c>
      <c r="L105" s="173"/>
      <c r="M105" s="121">
        <v>44926</v>
      </c>
      <c r="N105" s="110">
        <f t="shared" si="11"/>
        <v>474069.91526522668</v>
      </c>
      <c r="O105" s="170">
        <v>33</v>
      </c>
      <c r="P105" s="243">
        <f t="shared" si="12"/>
        <v>407520.19304878818</v>
      </c>
      <c r="Q105" s="150"/>
      <c r="R105" s="150"/>
      <c r="S105" s="150"/>
      <c r="T105" s="150"/>
      <c r="U105" s="150"/>
      <c r="V105" s="150"/>
      <c r="W105" s="150"/>
      <c r="X105" s="150"/>
    </row>
    <row r="106" spans="2:24" ht="15.75" x14ac:dyDescent="0.25">
      <c r="B106" s="106">
        <v>44651</v>
      </c>
      <c r="C106" s="110">
        <f t="shared" si="6"/>
        <v>474069.91526522668</v>
      </c>
      <c r="H106" s="178">
        <v>44957</v>
      </c>
      <c r="I106" s="110">
        <f t="shared" si="10"/>
        <v>474069.91526522668</v>
      </c>
      <c r="J106" s="170">
        <v>35</v>
      </c>
      <c r="K106" s="161">
        <f t="shared" si="9"/>
        <v>403801.30998312414</v>
      </c>
      <c r="L106" s="173"/>
      <c r="M106" s="106">
        <v>44957</v>
      </c>
      <c r="N106" s="110">
        <f t="shared" si="11"/>
        <v>474069.91526522668</v>
      </c>
      <c r="O106" s="170">
        <v>34</v>
      </c>
      <c r="P106" s="243">
        <f t="shared" si="12"/>
        <v>405656.48989961483</v>
      </c>
      <c r="Q106" s="150"/>
      <c r="R106" s="150"/>
      <c r="S106" s="150"/>
      <c r="T106" s="150"/>
      <c r="U106" s="150"/>
      <c r="V106" s="150"/>
      <c r="W106" s="150"/>
      <c r="X106" s="150"/>
    </row>
    <row r="107" spans="2:24" ht="15.75" x14ac:dyDescent="0.25">
      <c r="B107" s="121">
        <v>44681</v>
      </c>
      <c r="C107" s="110">
        <f t="shared" si="6"/>
        <v>474069.91526522668</v>
      </c>
      <c r="H107" s="178">
        <v>44985</v>
      </c>
      <c r="I107" s="110">
        <f t="shared" si="10"/>
        <v>474069.91526522668</v>
      </c>
      <c r="J107" s="170">
        <v>36</v>
      </c>
      <c r="K107" s="161">
        <f t="shared" si="9"/>
        <v>401954.61432020343</v>
      </c>
      <c r="L107" s="173"/>
      <c r="M107" s="106">
        <v>44985</v>
      </c>
      <c r="N107" s="110">
        <f t="shared" si="11"/>
        <v>474069.91526522668</v>
      </c>
      <c r="O107" s="170">
        <v>35</v>
      </c>
      <c r="P107" s="243">
        <f t="shared" si="12"/>
        <v>403801.30998312414</v>
      </c>
      <c r="Q107" s="150"/>
      <c r="R107" s="150"/>
      <c r="S107" s="150"/>
      <c r="T107" s="150"/>
      <c r="U107" s="150"/>
      <c r="V107" s="150"/>
      <c r="W107" s="150"/>
      <c r="X107" s="150"/>
    </row>
    <row r="108" spans="2:24" ht="15.75" x14ac:dyDescent="0.25">
      <c r="B108" s="106">
        <v>44712</v>
      </c>
      <c r="C108" s="110">
        <f t="shared" si="6"/>
        <v>474069.91526522668</v>
      </c>
      <c r="H108" s="238">
        <v>45016</v>
      </c>
      <c r="I108" s="110">
        <f t="shared" si="10"/>
        <v>474069.91526522668</v>
      </c>
      <c r="J108" s="170">
        <v>37</v>
      </c>
      <c r="K108" s="161">
        <f t="shared" si="9"/>
        <v>400116.36411000183</v>
      </c>
      <c r="L108" s="173"/>
      <c r="M108" s="121">
        <v>45016</v>
      </c>
      <c r="N108" s="110">
        <f t="shared" si="11"/>
        <v>474069.91526522668</v>
      </c>
      <c r="O108" s="170">
        <v>36</v>
      </c>
      <c r="P108" s="243">
        <f t="shared" si="12"/>
        <v>401954.61432020343</v>
      </c>
      <c r="Q108" s="150"/>
      <c r="R108" s="150"/>
      <c r="S108" s="150"/>
      <c r="T108" s="150"/>
      <c r="U108" s="150"/>
      <c r="V108" s="150"/>
      <c r="W108" s="150"/>
      <c r="X108" s="150"/>
    </row>
    <row r="109" spans="2:24" ht="15.75" x14ac:dyDescent="0.25">
      <c r="B109" s="106">
        <v>44742</v>
      </c>
      <c r="C109" s="110">
        <f t="shared" si="6"/>
        <v>474069.91526522668</v>
      </c>
      <c r="H109" s="178">
        <v>45046</v>
      </c>
      <c r="I109" s="110">
        <f t="shared" si="10"/>
        <v>474069.91526522668</v>
      </c>
      <c r="J109" s="170">
        <v>38</v>
      </c>
      <c r="K109" s="161">
        <f t="shared" si="9"/>
        <v>398286.52072911616</v>
      </c>
      <c r="L109" s="173"/>
      <c r="M109" s="106">
        <v>45046</v>
      </c>
      <c r="N109" s="110">
        <f t="shared" si="11"/>
        <v>474069.91526522668</v>
      </c>
      <c r="O109" s="170">
        <v>37</v>
      </c>
      <c r="P109" s="243">
        <f t="shared" si="12"/>
        <v>400116.36411000183</v>
      </c>
      <c r="Q109" s="150"/>
      <c r="R109" s="150"/>
      <c r="S109" s="150"/>
      <c r="T109" s="150"/>
      <c r="U109" s="150"/>
      <c r="V109" s="150"/>
      <c r="W109" s="150"/>
      <c r="X109" s="150"/>
    </row>
    <row r="110" spans="2:24" ht="15.75" x14ac:dyDescent="0.25">
      <c r="B110" s="121">
        <v>44773</v>
      </c>
      <c r="C110" s="110">
        <f t="shared" si="6"/>
        <v>474069.91526522668</v>
      </c>
      <c r="H110" s="178">
        <v>45077</v>
      </c>
      <c r="I110" s="110">
        <f t="shared" si="10"/>
        <v>474069.91526522668</v>
      </c>
      <c r="J110" s="170">
        <v>39</v>
      </c>
      <c r="K110" s="161">
        <f t="shared" si="9"/>
        <v>396465.04573077842</v>
      </c>
      <c r="L110" s="173"/>
      <c r="M110" s="106">
        <v>45077</v>
      </c>
      <c r="N110" s="110">
        <f t="shared" si="11"/>
        <v>474069.91526522668</v>
      </c>
      <c r="O110" s="170">
        <v>38</v>
      </c>
      <c r="P110" s="243">
        <f t="shared" si="12"/>
        <v>398286.52072911616</v>
      </c>
      <c r="Q110" s="150"/>
      <c r="R110" s="150"/>
      <c r="S110" s="150"/>
      <c r="T110" s="150"/>
      <c r="U110" s="150"/>
      <c r="V110" s="150"/>
      <c r="W110" s="150"/>
      <c r="X110" s="150"/>
    </row>
    <row r="111" spans="2:24" ht="15.75" x14ac:dyDescent="0.25">
      <c r="B111" s="106">
        <v>44804</v>
      </c>
      <c r="C111" s="110">
        <f t="shared" si="6"/>
        <v>474069.91526522668</v>
      </c>
      <c r="H111" s="238">
        <v>45107</v>
      </c>
      <c r="I111" s="110">
        <f t="shared" si="10"/>
        <v>474069.91526522668</v>
      </c>
      <c r="J111" s="170">
        <v>40</v>
      </c>
      <c r="K111" s="161">
        <f t="shared" si="9"/>
        <v>394651.90084404853</v>
      </c>
      <c r="L111" s="173"/>
      <c r="M111" s="121">
        <v>45107</v>
      </c>
      <c r="N111" s="110">
        <f t="shared" si="11"/>
        <v>474069.91526522668</v>
      </c>
      <c r="O111" s="170">
        <v>39</v>
      </c>
      <c r="P111" s="243">
        <f t="shared" si="12"/>
        <v>396465.04573077842</v>
      </c>
      <c r="Q111" s="150"/>
      <c r="R111" s="150"/>
      <c r="S111" s="150"/>
      <c r="T111" s="150"/>
      <c r="U111" s="150"/>
      <c r="V111" s="150"/>
      <c r="W111" s="150"/>
      <c r="X111" s="150"/>
    </row>
    <row r="112" spans="2:24" ht="15.75" x14ac:dyDescent="0.25">
      <c r="B112" s="121">
        <v>44834</v>
      </c>
      <c r="C112" s="110">
        <f t="shared" si="6"/>
        <v>474069.91526522668</v>
      </c>
      <c r="H112" s="178">
        <v>45138</v>
      </c>
      <c r="I112" s="110">
        <f t="shared" si="10"/>
        <v>474069.91526522668</v>
      </c>
      <c r="J112" s="170">
        <v>41</v>
      </c>
      <c r="K112" s="161">
        <f t="shared" si="9"/>
        <v>392847.04797300993</v>
      </c>
      <c r="L112" s="173"/>
      <c r="M112" s="106">
        <v>45138</v>
      </c>
      <c r="N112" s="110">
        <f t="shared" si="11"/>
        <v>474069.91526522668</v>
      </c>
      <c r="O112" s="170">
        <v>40</v>
      </c>
      <c r="P112" s="243">
        <f t="shared" si="12"/>
        <v>394651.90084404853</v>
      </c>
      <c r="Q112" s="150"/>
      <c r="R112" s="150"/>
      <c r="S112" s="150"/>
      <c r="T112" s="150"/>
      <c r="U112" s="150"/>
      <c r="V112" s="150"/>
      <c r="W112" s="150"/>
      <c r="X112" s="150"/>
    </row>
    <row r="113" spans="2:24" ht="15.75" x14ac:dyDescent="0.25">
      <c r="B113" s="106">
        <v>44865</v>
      </c>
      <c r="C113" s="110">
        <f t="shared" si="6"/>
        <v>474069.91526522668</v>
      </c>
      <c r="H113" s="238">
        <v>45169</v>
      </c>
      <c r="I113" s="110">
        <f t="shared" si="10"/>
        <v>474069.91526522668</v>
      </c>
      <c r="J113" s="170">
        <v>42</v>
      </c>
      <c r="K113" s="161">
        <f t="shared" si="9"/>
        <v>391050.44919596956</v>
      </c>
      <c r="L113" s="173"/>
      <c r="M113" s="121">
        <v>45169</v>
      </c>
      <c r="N113" s="110">
        <f t="shared" si="11"/>
        <v>474069.91526522668</v>
      </c>
      <c r="O113" s="170">
        <v>41</v>
      </c>
      <c r="P113" s="243">
        <f t="shared" si="12"/>
        <v>392847.04797300993</v>
      </c>
      <c r="Q113" s="150"/>
      <c r="R113" s="150"/>
      <c r="S113" s="150"/>
      <c r="T113" s="150"/>
      <c r="U113" s="150"/>
      <c r="V113" s="150"/>
      <c r="W113" s="150"/>
      <c r="X113" s="150"/>
    </row>
    <row r="114" spans="2:24" ht="15.75" x14ac:dyDescent="0.25">
      <c r="B114" s="106">
        <v>44895</v>
      </c>
      <c r="C114" s="110">
        <f t="shared" si="6"/>
        <v>474069.91526522668</v>
      </c>
      <c r="H114" s="178">
        <v>45199</v>
      </c>
      <c r="I114" s="110">
        <f t="shared" si="10"/>
        <v>474069.91526522668</v>
      </c>
      <c r="J114" s="170">
        <v>43</v>
      </c>
      <c r="K114" s="161">
        <f t="shared" si="9"/>
        <v>389262.06676466035</v>
      </c>
      <c r="L114" s="173"/>
      <c r="M114" s="106">
        <v>45199</v>
      </c>
      <c r="N114" s="110">
        <f t="shared" si="11"/>
        <v>474069.91526522668</v>
      </c>
      <c r="O114" s="170">
        <v>42</v>
      </c>
      <c r="P114" s="243">
        <f t="shared" si="12"/>
        <v>391050.44919596956</v>
      </c>
      <c r="Q114" s="150"/>
      <c r="R114" s="150"/>
      <c r="S114" s="150"/>
      <c r="T114" s="150"/>
      <c r="U114" s="150"/>
      <c r="V114" s="150"/>
      <c r="W114" s="150"/>
      <c r="X114" s="150"/>
    </row>
    <row r="115" spans="2:24" ht="15.75" x14ac:dyDescent="0.25">
      <c r="B115" s="121">
        <v>44926</v>
      </c>
      <c r="C115" s="110">
        <f t="shared" si="6"/>
        <v>474069.91526522668</v>
      </c>
      <c r="H115" s="238">
        <v>45230</v>
      </c>
      <c r="I115" s="110">
        <f t="shared" si="10"/>
        <v>474069.91526522668</v>
      </c>
      <c r="J115" s="170">
        <v>44</v>
      </c>
      <c r="K115" s="161">
        <f t="shared" si="9"/>
        <v>387481.86310344911</v>
      </c>
      <c r="L115" s="173"/>
      <c r="M115" s="121">
        <v>45230</v>
      </c>
      <c r="N115" s="110">
        <f t="shared" si="11"/>
        <v>474069.91526522668</v>
      </c>
      <c r="O115" s="170">
        <v>43</v>
      </c>
      <c r="P115" s="243">
        <f t="shared" si="12"/>
        <v>389262.06676466035</v>
      </c>
      <c r="Q115" s="150"/>
      <c r="R115" s="150"/>
      <c r="S115" s="150"/>
      <c r="T115" s="150"/>
      <c r="U115" s="150"/>
      <c r="V115" s="150"/>
      <c r="W115" s="150"/>
      <c r="X115" s="150"/>
    </row>
    <row r="116" spans="2:24" ht="15.75" x14ac:dyDescent="0.25">
      <c r="B116" s="106">
        <v>44957</v>
      </c>
      <c r="C116" s="110">
        <f t="shared" si="6"/>
        <v>474069.91526522668</v>
      </c>
      <c r="F116" s="254"/>
      <c r="H116" s="178">
        <v>45260</v>
      </c>
      <c r="I116" s="110">
        <f t="shared" si="10"/>
        <v>474069.91526522668</v>
      </c>
      <c r="J116" s="170">
        <v>45</v>
      </c>
      <c r="K116" s="161">
        <f t="shared" si="9"/>
        <v>385709.8008085459</v>
      </c>
      <c r="L116" s="173"/>
      <c r="M116" s="106">
        <v>45260</v>
      </c>
      <c r="N116" s="110">
        <f t="shared" si="11"/>
        <v>474069.91526522668</v>
      </c>
      <c r="O116" s="170">
        <v>44</v>
      </c>
      <c r="P116" s="243">
        <f t="shared" si="12"/>
        <v>387481.86310344911</v>
      </c>
      <c r="Q116" s="150"/>
      <c r="R116" s="150"/>
      <c r="S116" s="150"/>
      <c r="T116" s="150"/>
      <c r="U116" s="150"/>
      <c r="V116" s="150"/>
      <c r="W116" s="150"/>
      <c r="X116" s="150"/>
    </row>
    <row r="117" spans="2:24" ht="16.5" thickBot="1" x14ac:dyDescent="0.3">
      <c r="B117" s="106">
        <v>44985</v>
      </c>
      <c r="C117" s="110">
        <f t="shared" si="6"/>
        <v>474069.91526522668</v>
      </c>
      <c r="H117" s="238">
        <v>45291</v>
      </c>
      <c r="I117" s="110">
        <f>+($D$55*$D$57)+D55</f>
        <v>104642214.31526522</v>
      </c>
      <c r="J117" s="170">
        <v>46</v>
      </c>
      <c r="K117" s="161">
        <f t="shared" si="9"/>
        <v>84748982.920098826</v>
      </c>
      <c r="L117" s="173"/>
      <c r="M117" s="121">
        <v>45291</v>
      </c>
      <c r="N117" s="110">
        <f>+($D$55*$D$57)+D55</f>
        <v>104642214.31526522</v>
      </c>
      <c r="O117" s="170">
        <v>45</v>
      </c>
      <c r="P117" s="243">
        <f>N117/(1+$D$63)^(O117)</f>
        <v>85138344.240058258</v>
      </c>
      <c r="Q117" s="150"/>
      <c r="R117" s="150"/>
      <c r="S117" s="150"/>
      <c r="T117" s="150"/>
      <c r="U117" s="150"/>
      <c r="V117" s="150"/>
      <c r="W117" s="150"/>
      <c r="X117" s="150"/>
    </row>
    <row r="118" spans="2:24" ht="16.5" thickBot="1" x14ac:dyDescent="0.3">
      <c r="B118" s="121">
        <v>45016</v>
      </c>
      <c r="C118" s="110">
        <f t="shared" si="6"/>
        <v>474069.91526522668</v>
      </c>
      <c r="H118" s="244"/>
      <c r="I118" s="245"/>
      <c r="J118" s="245"/>
      <c r="K118" s="334">
        <f>+SUM(K72:K117)</f>
        <v>103981581.14451288</v>
      </c>
      <c r="L118" s="245"/>
      <c r="M118" s="245"/>
      <c r="N118" s="245"/>
      <c r="O118" s="245"/>
      <c r="P118" s="334">
        <f>+SUM(P73:P117)</f>
        <v>103985232.66366376</v>
      </c>
      <c r="Q118" s="150"/>
      <c r="R118" s="150"/>
      <c r="S118" s="150"/>
      <c r="T118" s="150"/>
      <c r="U118" s="150"/>
      <c r="V118" s="150"/>
      <c r="W118" s="150"/>
      <c r="X118" s="150"/>
    </row>
    <row r="119" spans="2:24" ht="18" x14ac:dyDescent="0.25">
      <c r="B119" s="106">
        <v>45046</v>
      </c>
      <c r="C119" s="110">
        <f t="shared" si="6"/>
        <v>474069.91526522668</v>
      </c>
      <c r="H119" s="235"/>
      <c r="I119" s="150"/>
      <c r="J119" s="150"/>
      <c r="K119" s="236"/>
      <c r="L119" s="150"/>
      <c r="M119" s="150"/>
      <c r="N119" s="150"/>
      <c r="O119" s="150"/>
      <c r="P119" s="236"/>
      <c r="Q119" s="150"/>
      <c r="R119" s="150"/>
      <c r="S119" s="150"/>
      <c r="T119" s="150"/>
      <c r="U119" s="150"/>
      <c r="V119" s="150"/>
      <c r="W119" s="150"/>
      <c r="X119" s="150"/>
    </row>
    <row r="120" spans="2:24" ht="15.75" x14ac:dyDescent="0.25">
      <c r="B120" s="106">
        <v>45077</v>
      </c>
      <c r="C120" s="110">
        <f t="shared" si="6"/>
        <v>474069.91526522668</v>
      </c>
    </row>
    <row r="121" spans="2:24" ht="15.75" x14ac:dyDescent="0.25">
      <c r="B121" s="121">
        <v>45107</v>
      </c>
      <c r="C121" s="110">
        <f t="shared" si="6"/>
        <v>474069.91526522668</v>
      </c>
      <c r="H121" s="111" t="s">
        <v>204</v>
      </c>
      <c r="M121" s="254"/>
      <c r="N121" s="254"/>
      <c r="Q121" s="111" t="s">
        <v>205</v>
      </c>
    </row>
    <row r="122" spans="2:24" ht="15.75" x14ac:dyDescent="0.25">
      <c r="B122" s="106">
        <v>45138</v>
      </c>
      <c r="C122" s="110">
        <f t="shared" si="6"/>
        <v>474069.91526522668</v>
      </c>
      <c r="H122" s="50" t="s">
        <v>34</v>
      </c>
      <c r="I122" s="349" t="s">
        <v>44</v>
      </c>
      <c r="J122" s="349"/>
      <c r="K122" s="349"/>
      <c r="L122" s="349"/>
      <c r="M122" s="349"/>
      <c r="N122" s="50" t="s">
        <v>46</v>
      </c>
      <c r="O122" s="50" t="s">
        <v>47</v>
      </c>
      <c r="Q122" s="50" t="s">
        <v>34</v>
      </c>
      <c r="R122" s="349" t="s">
        <v>44</v>
      </c>
      <c r="S122" s="349"/>
      <c r="T122" s="349"/>
      <c r="U122" s="349"/>
      <c r="V122" s="349"/>
      <c r="W122" s="50" t="s">
        <v>46</v>
      </c>
      <c r="X122" s="50" t="s">
        <v>47</v>
      </c>
    </row>
    <row r="123" spans="2:24" ht="15.75" x14ac:dyDescent="0.25">
      <c r="B123" s="121">
        <v>45169</v>
      </c>
      <c r="C123" s="110">
        <f t="shared" si="6"/>
        <v>474069.91526522668</v>
      </c>
      <c r="H123" s="187">
        <v>43890</v>
      </c>
      <c r="I123" s="350" t="s">
        <v>48</v>
      </c>
      <c r="J123" s="350"/>
      <c r="K123" s="350"/>
      <c r="L123" s="350"/>
      <c r="M123" s="350"/>
      <c r="N123" s="52">
        <f>-(D55-(K118+O128))</f>
        <v>287506.65977811813</v>
      </c>
      <c r="O123" s="119"/>
      <c r="Q123" s="187">
        <v>43921</v>
      </c>
      <c r="R123" s="358" t="s">
        <v>188</v>
      </c>
      <c r="S123" s="358"/>
      <c r="T123" s="358"/>
      <c r="U123" s="358"/>
      <c r="V123" s="358"/>
      <c r="W123" s="276">
        <f>+P118-(I129-W127)</f>
        <v>477721.43441611528</v>
      </c>
      <c r="X123" s="199"/>
    </row>
    <row r="124" spans="2:24" ht="15.75" x14ac:dyDescent="0.25">
      <c r="B124" s="106">
        <v>45199</v>
      </c>
      <c r="C124" s="110">
        <f t="shared" si="6"/>
        <v>474069.91526522668</v>
      </c>
      <c r="H124" s="187">
        <v>43890</v>
      </c>
      <c r="I124" s="350" t="s">
        <v>187</v>
      </c>
      <c r="J124" s="350"/>
      <c r="K124" s="350"/>
      <c r="L124" s="350"/>
      <c r="M124" s="350"/>
      <c r="N124" s="119"/>
      <c r="O124" s="52">
        <f>+N123</f>
        <v>287506.65977811813</v>
      </c>
      <c r="Q124" s="187">
        <v>43921</v>
      </c>
      <c r="R124" s="358" t="s">
        <v>187</v>
      </c>
      <c r="S124" s="358"/>
      <c r="T124" s="358"/>
      <c r="U124" s="358"/>
      <c r="V124" s="358"/>
      <c r="W124" s="199"/>
      <c r="X124" s="276">
        <f>+W123</f>
        <v>477721.43441611528</v>
      </c>
    </row>
    <row r="125" spans="2:24" ht="15.75" x14ac:dyDescent="0.25">
      <c r="B125" s="121">
        <v>45230</v>
      </c>
      <c r="C125" s="110">
        <f t="shared" si="6"/>
        <v>474069.91526522668</v>
      </c>
    </row>
    <row r="126" spans="2:24" ht="15.75" x14ac:dyDescent="0.25">
      <c r="B126" s="106">
        <v>45260</v>
      </c>
      <c r="C126" s="110">
        <f t="shared" si="6"/>
        <v>474069.91526522668</v>
      </c>
      <c r="H126" s="277" t="s">
        <v>34</v>
      </c>
      <c r="I126" s="357" t="s">
        <v>44</v>
      </c>
      <c r="J126" s="357"/>
      <c r="K126" s="357"/>
      <c r="L126" s="357"/>
      <c r="M126" s="357"/>
      <c r="N126" s="277" t="s">
        <v>46</v>
      </c>
      <c r="O126" s="277" t="s">
        <v>47</v>
      </c>
      <c r="Q126" s="50" t="s">
        <v>34</v>
      </c>
      <c r="R126" s="349" t="s">
        <v>44</v>
      </c>
      <c r="S126" s="349"/>
      <c r="T126" s="349"/>
      <c r="U126" s="349"/>
      <c r="V126" s="349"/>
      <c r="W126" s="50" t="s">
        <v>46</v>
      </c>
      <c r="X126" s="50" t="s">
        <v>47</v>
      </c>
    </row>
    <row r="127" spans="2:24" ht="15.75" x14ac:dyDescent="0.25">
      <c r="B127" s="121">
        <v>45291</v>
      </c>
      <c r="C127" s="110">
        <f>+($D$55*$D$57)+D55</f>
        <v>104642214.31526522</v>
      </c>
      <c r="H127" s="187">
        <v>43890</v>
      </c>
      <c r="I127" s="358" t="s">
        <v>222</v>
      </c>
      <c r="J127" s="358"/>
      <c r="K127" s="358"/>
      <c r="L127" s="358"/>
      <c r="M127" s="358"/>
      <c r="N127" s="199">
        <f>+I71</f>
        <v>474069.91526522668</v>
      </c>
      <c r="O127" s="199"/>
      <c r="Q127" s="187">
        <v>43921</v>
      </c>
      <c r="R127" s="358" t="s">
        <v>222</v>
      </c>
      <c r="S127" s="358"/>
      <c r="T127" s="358"/>
      <c r="U127" s="358"/>
      <c r="V127" s="358"/>
      <c r="W127" s="52">
        <f>+N72</f>
        <v>474069.91526522668</v>
      </c>
      <c r="X127" s="52"/>
    </row>
    <row r="128" spans="2:24" ht="15.75" thickBot="1" x14ac:dyDescent="0.3">
      <c r="H128" s="187">
        <v>43890</v>
      </c>
      <c r="I128" s="350" t="s">
        <v>188</v>
      </c>
      <c r="J128" s="350"/>
      <c r="K128" s="350"/>
      <c r="L128" s="350"/>
      <c r="M128" s="350"/>
      <c r="N128" s="199"/>
      <c r="O128" s="199">
        <f>+N127</f>
        <v>474069.91526522668</v>
      </c>
      <c r="Q128" s="187">
        <v>43921</v>
      </c>
      <c r="R128" s="350" t="s">
        <v>188</v>
      </c>
      <c r="S128" s="350"/>
      <c r="T128" s="350"/>
      <c r="U128" s="350"/>
      <c r="V128" s="350"/>
      <c r="W128" s="52"/>
      <c r="X128" s="52">
        <f>+W127</f>
        <v>474069.91526522668</v>
      </c>
    </row>
    <row r="129" spans="8:24" ht="15.75" thickBot="1" x14ac:dyDescent="0.3">
      <c r="H129" s="275" t="s">
        <v>216</v>
      </c>
      <c r="I129" s="274">
        <f>+D55+N123-O128</f>
        <v>103981581.14451288</v>
      </c>
      <c r="J129" s="150"/>
      <c r="K129" s="150"/>
      <c r="L129" s="150"/>
      <c r="M129" s="150"/>
      <c r="N129" s="150"/>
      <c r="O129" s="150"/>
      <c r="Q129" s="275" t="s">
        <v>216</v>
      </c>
      <c r="R129" s="278">
        <f>+(I129+W123)-W127</f>
        <v>103985232.66366376</v>
      </c>
      <c r="S129" s="272"/>
      <c r="T129" s="272"/>
      <c r="U129" s="272"/>
      <c r="V129" s="272"/>
      <c r="W129" s="273"/>
      <c r="X129" s="273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R44:V44"/>
    <mergeCell ref="R45:V45"/>
    <mergeCell ref="R46:V46"/>
    <mergeCell ref="R126:V126"/>
    <mergeCell ref="R127:V127"/>
    <mergeCell ref="R48:V48"/>
    <mergeCell ref="R49:V49"/>
    <mergeCell ref="R50:V50"/>
    <mergeCell ref="H16:K16"/>
    <mergeCell ref="M16:P16"/>
    <mergeCell ref="H14:P14"/>
    <mergeCell ref="H53:P53"/>
    <mergeCell ref="H55:K55"/>
    <mergeCell ref="M55:P55"/>
    <mergeCell ref="I48:M48"/>
    <mergeCell ref="I49:M49"/>
    <mergeCell ref="I50:M50"/>
    <mergeCell ref="I44:M44"/>
    <mergeCell ref="I45:M45"/>
    <mergeCell ref="I46:M46"/>
    <mergeCell ref="I122:M122"/>
    <mergeCell ref="R122:V122"/>
    <mergeCell ref="I126:M126"/>
    <mergeCell ref="I127:M127"/>
    <mergeCell ref="I128:M128"/>
    <mergeCell ref="I123:M123"/>
    <mergeCell ref="R128:V128"/>
    <mergeCell ref="R123:V123"/>
    <mergeCell ref="I124:M124"/>
    <mergeCell ref="R124:V12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C065-2351-4076-9A4B-A27A35D21A2F}">
  <sheetPr>
    <tabColor theme="5" tint="0.59999389629810485"/>
  </sheetPr>
  <dimension ref="A9:Y75"/>
  <sheetViews>
    <sheetView showGridLines="0" showRowColHeaders="0" zoomScale="70" zoomScaleNormal="70" workbookViewId="0">
      <selection activeCell="H6" sqref="H6"/>
    </sheetView>
  </sheetViews>
  <sheetFormatPr defaultColWidth="11.42578125" defaultRowHeight="15" x14ac:dyDescent="0.25"/>
  <cols>
    <col min="1" max="1" width="4" style="1" customWidth="1"/>
    <col min="2" max="2" width="34.140625" style="1" bestFit="1" customWidth="1"/>
    <col min="3" max="3" width="19.7109375" style="1" customWidth="1"/>
    <col min="4" max="4" width="14" style="1" bestFit="1" customWidth="1"/>
    <col min="5" max="5" width="6.28515625" style="1" bestFit="1" customWidth="1"/>
    <col min="6" max="6" width="13.5703125" style="1" bestFit="1" customWidth="1"/>
    <col min="7" max="7" width="7.5703125" style="1" customWidth="1"/>
    <col min="8" max="8" width="30.140625" style="1" bestFit="1" customWidth="1"/>
    <col min="9" max="9" width="18" style="1" customWidth="1"/>
    <col min="10" max="10" width="20" style="1" customWidth="1"/>
    <col min="11" max="12" width="19" style="1" customWidth="1"/>
    <col min="13" max="13" width="20.5703125" style="1" customWidth="1"/>
    <col min="14" max="14" width="3.85546875" style="1" customWidth="1"/>
    <col min="15" max="15" width="30.140625" style="1" hidden="1" customWidth="1"/>
    <col min="16" max="16" width="18.140625" style="1" hidden="1" customWidth="1"/>
    <col min="17" max="17" width="12.42578125" style="1" hidden="1" customWidth="1"/>
    <col min="18" max="18" width="19" style="1" hidden="1" customWidth="1"/>
    <col min="19" max="19" width="18.5703125" style="1" hidden="1" customWidth="1"/>
    <col min="20" max="20" width="21.85546875" style="1" hidden="1" customWidth="1"/>
    <col min="21" max="23" width="11.42578125" style="1"/>
    <col min="24" max="24" width="23.28515625" style="1" customWidth="1"/>
    <col min="25" max="25" width="13" style="1" bestFit="1" customWidth="1"/>
    <col min="26" max="26" width="11.85546875" style="1" bestFit="1" customWidth="1"/>
    <col min="27" max="16384" width="11.42578125" style="1"/>
  </cols>
  <sheetData>
    <row r="9" spans="2:20" x14ac:dyDescent="0.25">
      <c r="B9" s="4" t="s">
        <v>50</v>
      </c>
    </row>
    <row r="10" spans="2:20" x14ac:dyDescent="0.25">
      <c r="B10" s="2" t="s">
        <v>183</v>
      </c>
    </row>
    <row r="11" spans="2:20" x14ac:dyDescent="0.25">
      <c r="B11" s="2" t="s">
        <v>182</v>
      </c>
    </row>
    <row r="12" spans="2:20" x14ac:dyDescent="0.25">
      <c r="B12" s="2" t="s">
        <v>184</v>
      </c>
    </row>
    <row r="13" spans="2:20" ht="15.75" thickBot="1" x14ac:dyDescent="0.3">
      <c r="B13" s="2" t="s">
        <v>185</v>
      </c>
      <c r="N13" s="174"/>
    </row>
    <row r="14" spans="2:20" ht="16.5" thickBot="1" x14ac:dyDescent="0.3">
      <c r="B14" s="111" t="s">
        <v>110</v>
      </c>
      <c r="H14" s="362" t="s">
        <v>109</v>
      </c>
      <c r="I14" s="363"/>
      <c r="J14" s="363"/>
      <c r="K14" s="363"/>
      <c r="L14" s="363"/>
      <c r="M14" s="364"/>
      <c r="N14" s="247"/>
      <c r="O14" s="293"/>
      <c r="P14" s="293"/>
      <c r="Q14" s="293"/>
      <c r="R14" s="293"/>
      <c r="S14" s="293"/>
      <c r="T14" s="307"/>
    </row>
    <row r="15" spans="2:20" x14ac:dyDescent="0.25">
      <c r="H15" s="172"/>
      <c r="I15" s="173"/>
      <c r="J15" s="181">
        <f>+D26</f>
        <v>4.1149999999999999E-2</v>
      </c>
      <c r="K15" s="174"/>
      <c r="L15" s="174"/>
      <c r="M15" s="175"/>
      <c r="N15" s="174"/>
      <c r="O15" s="174"/>
      <c r="P15" s="174"/>
      <c r="Q15" s="230">
        <f>+D27</f>
        <v>3.5349999999999999E-2</v>
      </c>
      <c r="R15" s="174"/>
      <c r="S15" s="174"/>
      <c r="T15" s="175"/>
    </row>
    <row r="16" spans="2:20" ht="15.75" customHeight="1" x14ac:dyDescent="0.25">
      <c r="B16" s="167" t="s">
        <v>189</v>
      </c>
      <c r="C16" s="149"/>
      <c r="D16" s="10"/>
      <c r="E16" s="10"/>
      <c r="H16" s="359" t="s">
        <v>191</v>
      </c>
      <c r="I16" s="352"/>
      <c r="J16" s="352"/>
      <c r="K16" s="352"/>
      <c r="L16" s="352"/>
      <c r="M16" s="368"/>
      <c r="N16" s="202"/>
      <c r="O16" s="352" t="s">
        <v>192</v>
      </c>
      <c r="P16" s="352"/>
      <c r="Q16" s="352"/>
      <c r="R16" s="352"/>
      <c r="S16" s="352"/>
      <c r="T16" s="368"/>
    </row>
    <row r="17" spans="1:25" ht="15.75" x14ac:dyDescent="0.25">
      <c r="B17" s="95" t="s">
        <v>22</v>
      </c>
      <c r="C17" s="10"/>
      <c r="D17" s="96">
        <f>+'X.2. Tabla de capitalización'!C15</f>
        <v>69445429.600000009</v>
      </c>
      <c r="E17" s="10"/>
      <c r="F17" s="10"/>
      <c r="G17" s="10"/>
      <c r="H17" s="176" t="s">
        <v>62</v>
      </c>
      <c r="I17" s="107" t="s">
        <v>63</v>
      </c>
      <c r="J17" s="107" t="s">
        <v>64</v>
      </c>
      <c r="K17" s="107" t="s">
        <v>65</v>
      </c>
      <c r="L17" s="200" t="s">
        <v>152</v>
      </c>
      <c r="M17" s="231" t="s">
        <v>153</v>
      </c>
      <c r="N17" s="203"/>
      <c r="O17" s="107" t="s">
        <v>62</v>
      </c>
      <c r="P17" s="107" t="s">
        <v>63</v>
      </c>
      <c r="Q17" s="107" t="s">
        <v>64</v>
      </c>
      <c r="R17" s="107" t="s">
        <v>65</v>
      </c>
      <c r="S17" s="200" t="s">
        <v>152</v>
      </c>
      <c r="T17" s="231" t="s">
        <v>153</v>
      </c>
    </row>
    <row r="18" spans="1:25" ht="15.75" x14ac:dyDescent="0.25">
      <c r="B18" s="97" t="s">
        <v>66</v>
      </c>
      <c r="C18" s="10"/>
      <c r="D18" s="98">
        <v>5.2499999999999998E-2</v>
      </c>
      <c r="E18" s="100" t="s">
        <v>200</v>
      </c>
      <c r="F18" s="191"/>
      <c r="H18" s="178">
        <v>43524</v>
      </c>
      <c r="I18" s="207">
        <f>-D17</f>
        <v>-69445429.600000009</v>
      </c>
      <c r="J18" s="6"/>
      <c r="K18" s="6"/>
      <c r="L18" s="6"/>
      <c r="M18" s="179"/>
      <c r="N18" s="10"/>
      <c r="O18" s="106">
        <v>43524</v>
      </c>
      <c r="P18" s="207">
        <f>-D17</f>
        <v>-69445429.600000009</v>
      </c>
      <c r="Q18" s="6"/>
      <c r="R18" s="6"/>
      <c r="S18" s="6"/>
      <c r="T18" s="179"/>
    </row>
    <row r="19" spans="1:25" ht="15.75" x14ac:dyDescent="0.25">
      <c r="B19" s="97"/>
      <c r="C19" s="10"/>
      <c r="D19" s="188">
        <f>+((1+D18)^(1/12))-1</f>
        <v>4.2731277661580691E-3</v>
      </c>
      <c r="E19" s="100" t="s">
        <v>202</v>
      </c>
      <c r="H19" s="178">
        <v>43555</v>
      </c>
      <c r="I19" s="207">
        <f>+$D$17*$D$19</f>
        <v>296749.19345653546</v>
      </c>
      <c r="J19" s="6"/>
      <c r="K19" s="6"/>
      <c r="L19" s="6"/>
      <c r="M19" s="179"/>
      <c r="N19" s="10"/>
      <c r="O19" s="106">
        <v>43555</v>
      </c>
      <c r="P19" s="207">
        <f>+$D$17*$D$19</f>
        <v>296749.19345653546</v>
      </c>
      <c r="Q19" s="6"/>
      <c r="R19" s="6"/>
      <c r="S19" s="6"/>
      <c r="T19" s="179"/>
    </row>
    <row r="20" spans="1:25" ht="15.75" x14ac:dyDescent="0.25">
      <c r="B20" s="97" t="s">
        <v>68</v>
      </c>
      <c r="C20" s="10"/>
      <c r="D20" s="10" t="s">
        <v>105</v>
      </c>
      <c r="E20" s="10"/>
      <c r="G20" s="150"/>
      <c r="H20" s="178">
        <v>43585</v>
      </c>
      <c r="I20" s="207">
        <f t="shared" ref="I20:I39" si="0">+$D$17*$D$19</f>
        <v>296749.19345653546</v>
      </c>
      <c r="J20" s="6"/>
      <c r="K20" s="6"/>
      <c r="L20" s="6"/>
      <c r="M20" s="179"/>
      <c r="N20" s="10"/>
      <c r="O20" s="106">
        <v>43585</v>
      </c>
      <c r="P20" s="207">
        <f t="shared" ref="P20:P39" si="1">+$D$17*$D$19</f>
        <v>296749.19345653546</v>
      </c>
      <c r="Q20" s="6"/>
      <c r="R20" s="6"/>
      <c r="S20" s="6"/>
      <c r="T20" s="179"/>
    </row>
    <row r="21" spans="1:25" ht="15.75" x14ac:dyDescent="0.25">
      <c r="B21" s="97" t="s">
        <v>70</v>
      </c>
      <c r="C21" s="10"/>
      <c r="D21" s="166" t="s">
        <v>190</v>
      </c>
      <c r="E21" s="166"/>
      <c r="F21" s="150"/>
      <c r="G21" s="150"/>
      <c r="H21" s="178">
        <v>43616</v>
      </c>
      <c r="I21" s="207">
        <f t="shared" si="0"/>
        <v>296749.19345653546</v>
      </c>
      <c r="J21" s="6"/>
      <c r="K21" s="6"/>
      <c r="L21" s="6"/>
      <c r="M21" s="179"/>
      <c r="N21" s="10"/>
      <c r="O21" s="106">
        <v>43616</v>
      </c>
      <c r="P21" s="207">
        <f t="shared" si="1"/>
        <v>296749.19345653546</v>
      </c>
      <c r="Q21" s="6"/>
      <c r="R21" s="6"/>
      <c r="S21" s="6"/>
      <c r="T21" s="179"/>
    </row>
    <row r="22" spans="1:25" ht="15.75" x14ac:dyDescent="0.25">
      <c r="B22" s="97" t="s">
        <v>72</v>
      </c>
      <c r="C22" s="10"/>
      <c r="D22" s="10" t="s">
        <v>106</v>
      </c>
      <c r="E22" s="10"/>
      <c r="F22" s="150"/>
      <c r="G22" s="150"/>
      <c r="H22" s="178">
        <v>43646</v>
      </c>
      <c r="I22" s="207">
        <f t="shared" si="0"/>
        <v>296749.19345653546</v>
      </c>
      <c r="J22" s="6"/>
      <c r="K22" s="6"/>
      <c r="L22" s="6"/>
      <c r="M22" s="179"/>
      <c r="N22" s="10"/>
      <c r="O22" s="106">
        <v>43646</v>
      </c>
      <c r="P22" s="207">
        <f t="shared" si="1"/>
        <v>296749.19345653546</v>
      </c>
      <c r="Q22" s="6"/>
      <c r="R22" s="6"/>
      <c r="S22" s="6"/>
      <c r="T22" s="179"/>
    </row>
    <row r="23" spans="1:25" ht="15.75" x14ac:dyDescent="0.25">
      <c r="B23" s="97" t="s">
        <v>74</v>
      </c>
      <c r="C23" s="10"/>
      <c r="D23" s="99">
        <v>0.98</v>
      </c>
      <c r="E23" s="10"/>
      <c r="G23" s="150"/>
      <c r="H23" s="178">
        <v>43677</v>
      </c>
      <c r="I23" s="207">
        <f t="shared" si="0"/>
        <v>296749.19345653546</v>
      </c>
      <c r="J23" s="6"/>
      <c r="K23" s="6"/>
      <c r="L23" s="6"/>
      <c r="M23" s="179"/>
      <c r="N23" s="10"/>
      <c r="O23" s="106">
        <v>43677</v>
      </c>
      <c r="P23" s="207">
        <f t="shared" si="1"/>
        <v>296749.19345653546</v>
      </c>
      <c r="Q23" s="6"/>
      <c r="R23" s="6"/>
      <c r="S23" s="6"/>
      <c r="T23" s="179"/>
    </row>
    <row r="24" spans="1:25" ht="15.75" x14ac:dyDescent="0.25">
      <c r="B24" s="97" t="s">
        <v>75</v>
      </c>
      <c r="C24" s="10"/>
      <c r="D24" s="113">
        <v>43511</v>
      </c>
      <c r="E24" s="10"/>
      <c r="G24" s="150"/>
      <c r="H24" s="178">
        <v>43708</v>
      </c>
      <c r="I24" s="207">
        <f t="shared" si="0"/>
        <v>296749.19345653546</v>
      </c>
      <c r="J24" s="6"/>
      <c r="K24" s="6"/>
      <c r="L24" s="6"/>
      <c r="M24" s="179"/>
      <c r="N24" s="10"/>
      <c r="O24" s="106">
        <v>43708</v>
      </c>
      <c r="P24" s="207">
        <f t="shared" si="1"/>
        <v>296749.19345653546</v>
      </c>
      <c r="Q24" s="6"/>
      <c r="R24" s="6"/>
      <c r="S24" s="6"/>
      <c r="T24" s="179"/>
    </row>
    <row r="25" spans="1:25" ht="15.75" x14ac:dyDescent="0.25">
      <c r="H25" s="178">
        <v>43738</v>
      </c>
      <c r="I25" s="207">
        <f t="shared" si="0"/>
        <v>296749.19345653546</v>
      </c>
      <c r="J25" s="6"/>
      <c r="K25" s="6"/>
      <c r="L25" s="6"/>
      <c r="M25" s="179"/>
      <c r="N25" s="10"/>
      <c r="O25" s="106">
        <v>43738</v>
      </c>
      <c r="P25" s="207">
        <f t="shared" si="1"/>
        <v>296749.19345653546</v>
      </c>
      <c r="Q25" s="6"/>
      <c r="R25" s="6"/>
      <c r="S25" s="6"/>
      <c r="T25" s="179"/>
    </row>
    <row r="26" spans="1:25" ht="15.75" x14ac:dyDescent="0.25">
      <c r="A26" s="150"/>
      <c r="B26" s="163" t="s">
        <v>193</v>
      </c>
      <c r="C26" s="148"/>
      <c r="D26" s="164">
        <v>4.1149999999999999E-2</v>
      </c>
      <c r="E26" s="149" t="s">
        <v>195</v>
      </c>
      <c r="H26" s="178">
        <v>43769</v>
      </c>
      <c r="I26" s="207">
        <f t="shared" si="0"/>
        <v>296749.19345653546</v>
      </c>
      <c r="J26" s="6"/>
      <c r="K26" s="6"/>
      <c r="L26" s="6"/>
      <c r="M26" s="179"/>
      <c r="N26" s="10"/>
      <c r="O26" s="106">
        <v>43769</v>
      </c>
      <c r="P26" s="207">
        <f t="shared" si="1"/>
        <v>296749.19345653546</v>
      </c>
      <c r="Q26" s="6"/>
      <c r="R26" s="6"/>
      <c r="S26" s="6"/>
      <c r="T26" s="179"/>
    </row>
    <row r="27" spans="1:25" ht="15.75" x14ac:dyDescent="0.25">
      <c r="A27" s="150"/>
      <c r="B27" s="163" t="s">
        <v>194</v>
      </c>
      <c r="C27" s="165"/>
      <c r="D27" s="164">
        <v>3.5349999999999999E-2</v>
      </c>
      <c r="E27" s="149" t="s">
        <v>195</v>
      </c>
      <c r="H27" s="178">
        <v>43799</v>
      </c>
      <c r="I27" s="207">
        <f t="shared" si="0"/>
        <v>296749.19345653546</v>
      </c>
      <c r="J27" s="6"/>
      <c r="K27" s="6"/>
      <c r="L27" s="6"/>
      <c r="M27" s="179"/>
      <c r="N27" s="10"/>
      <c r="O27" s="106">
        <v>43799</v>
      </c>
      <c r="P27" s="207">
        <f t="shared" si="1"/>
        <v>296749.19345653546</v>
      </c>
      <c r="Q27" s="6"/>
      <c r="R27" s="6"/>
      <c r="S27" s="6"/>
      <c r="T27" s="179"/>
    </row>
    <row r="28" spans="1:25" ht="18" x14ac:dyDescent="0.25">
      <c r="A28" s="150"/>
      <c r="B28" s="151"/>
      <c r="C28" s="152"/>
      <c r="D28" s="148"/>
      <c r="H28" s="178">
        <v>43830</v>
      </c>
      <c r="I28" s="207">
        <f t="shared" si="0"/>
        <v>296749.19345653546</v>
      </c>
      <c r="J28" s="6"/>
      <c r="K28" s="6"/>
      <c r="L28" s="6"/>
      <c r="M28" s="179"/>
      <c r="N28" s="10"/>
      <c r="O28" s="106">
        <v>43830</v>
      </c>
      <c r="P28" s="207">
        <f t="shared" si="1"/>
        <v>296749.19345653546</v>
      </c>
      <c r="Q28" s="6"/>
      <c r="R28" s="6"/>
      <c r="S28" s="6"/>
      <c r="T28" s="179"/>
    </row>
    <row r="29" spans="1:25" ht="15.75" x14ac:dyDescent="0.25">
      <c r="A29" s="150"/>
      <c r="B29" s="153"/>
      <c r="C29" s="154"/>
      <c r="H29" s="178">
        <v>43861</v>
      </c>
      <c r="I29" s="207">
        <f t="shared" si="0"/>
        <v>296749.19345653546</v>
      </c>
      <c r="J29" s="6"/>
      <c r="K29" s="6"/>
      <c r="L29" s="6"/>
      <c r="M29" s="179"/>
      <c r="N29" s="10"/>
      <c r="O29" s="106">
        <v>43861</v>
      </c>
      <c r="P29" s="207">
        <f t="shared" si="1"/>
        <v>296749.19345653546</v>
      </c>
      <c r="Q29" s="6"/>
      <c r="R29" s="6"/>
      <c r="S29" s="6"/>
      <c r="T29" s="179"/>
    </row>
    <row r="30" spans="1:25" ht="18" x14ac:dyDescent="0.25">
      <c r="A30" s="150"/>
      <c r="B30" s="153"/>
      <c r="C30" s="154"/>
      <c r="H30" s="180">
        <v>43890</v>
      </c>
      <c r="I30" s="207">
        <f t="shared" si="0"/>
        <v>296749.19345653546</v>
      </c>
      <c r="J30" s="157"/>
      <c r="K30" s="158"/>
      <c r="L30" s="209"/>
      <c r="M30" s="232"/>
      <c r="N30" s="205"/>
      <c r="O30" s="160">
        <v>43890</v>
      </c>
      <c r="P30" s="207">
        <f t="shared" si="1"/>
        <v>296749.19345653546</v>
      </c>
      <c r="Q30" s="162"/>
      <c r="R30" s="210"/>
      <c r="S30" s="209"/>
      <c r="T30" s="232"/>
    </row>
    <row r="31" spans="1:25" ht="18" x14ac:dyDescent="0.25">
      <c r="A31" s="150"/>
      <c r="B31" s="153"/>
      <c r="C31" s="154"/>
      <c r="G31" s="147"/>
      <c r="H31" s="178">
        <v>43921</v>
      </c>
      <c r="I31" s="207">
        <f>+$D$17*$D$19</f>
        <v>296749.19345653546</v>
      </c>
      <c r="J31" s="105">
        <v>1</v>
      </c>
      <c r="K31" s="207">
        <f>I31/(1+$J$15/12)^(J31)</f>
        <v>295735.06861706945</v>
      </c>
      <c r="L31" s="207">
        <f>+J31*K31</f>
        <v>295735.06861706945</v>
      </c>
      <c r="M31" s="233">
        <f>+J31*(J31+1)*K31</f>
        <v>591470.13723413891</v>
      </c>
      <c r="N31" s="204"/>
      <c r="O31" s="156">
        <v>43921</v>
      </c>
      <c r="P31" s="207">
        <f t="shared" si="1"/>
        <v>296749.19345653546</v>
      </c>
      <c r="Q31" s="159"/>
      <c r="R31" s="211"/>
      <c r="S31" s="207"/>
      <c r="T31" s="233"/>
      <c r="U31" s="150"/>
      <c r="V31" s="150"/>
      <c r="W31" s="150"/>
      <c r="X31" s="150"/>
      <c r="Y31" s="150"/>
    </row>
    <row r="32" spans="1:25" ht="15.75" x14ac:dyDescent="0.25">
      <c r="A32" s="150"/>
      <c r="B32" s="153"/>
      <c r="C32" s="154"/>
      <c r="H32" s="178">
        <v>43951</v>
      </c>
      <c r="I32" s="207">
        <f t="shared" si="0"/>
        <v>296749.19345653546</v>
      </c>
      <c r="J32" s="105">
        <v>2</v>
      </c>
      <c r="K32" s="207">
        <f t="shared" ref="K32:K40" si="2">I32/(1+$J$15/12)^(J32)</f>
        <v>294724.40949617216</v>
      </c>
      <c r="L32" s="207">
        <f t="shared" ref="L32:L40" si="3">+J32*K32</f>
        <v>589448.81899234431</v>
      </c>
      <c r="M32" s="233">
        <f t="shared" ref="M32:M40" si="4">+J32*(J32+1)*K32</f>
        <v>1768346.4569770331</v>
      </c>
      <c r="N32" s="204"/>
      <c r="O32" s="106">
        <v>43951</v>
      </c>
      <c r="P32" s="207">
        <f t="shared" si="1"/>
        <v>296749.19345653546</v>
      </c>
      <c r="Q32" s="105">
        <v>1</v>
      </c>
      <c r="R32" s="109">
        <f t="shared" ref="R32:R40" si="5">P32/(1+$Q$15/12)^(Q32)</f>
        <v>295877.58739699511</v>
      </c>
      <c r="S32" s="207">
        <f>+Q32*R32</f>
        <v>295877.58739699511</v>
      </c>
      <c r="T32" s="233">
        <f t="shared" ref="T32:T40" si="6">+Q32*(Q32+1)*R32</f>
        <v>591755.17479399021</v>
      </c>
      <c r="U32" s="150"/>
      <c r="V32" s="150"/>
      <c r="W32" s="150"/>
      <c r="X32" s="150"/>
      <c r="Y32" s="150"/>
    </row>
    <row r="33" spans="1:20" ht="15.75" x14ac:dyDescent="0.25">
      <c r="A33" s="150"/>
      <c r="B33" s="153"/>
      <c r="C33" s="154"/>
      <c r="H33" s="178">
        <v>43982</v>
      </c>
      <c r="I33" s="207">
        <f t="shared" si="0"/>
        <v>296749.19345653546</v>
      </c>
      <c r="J33" s="105">
        <v>3</v>
      </c>
      <c r="K33" s="207">
        <f t="shared" si="2"/>
        <v>293717.20424993179</v>
      </c>
      <c r="L33" s="207">
        <f t="shared" si="3"/>
        <v>881151.61274979543</v>
      </c>
      <c r="M33" s="233">
        <f t="shared" si="4"/>
        <v>3524606.4509991817</v>
      </c>
      <c r="N33" s="204"/>
      <c r="O33" s="106">
        <v>43982</v>
      </c>
      <c r="P33" s="207">
        <f t="shared" si="1"/>
        <v>296749.19345653546</v>
      </c>
      <c r="Q33" s="105">
        <v>2</v>
      </c>
      <c r="R33" s="109">
        <f t="shared" si="5"/>
        <v>295008.54140211467</v>
      </c>
      <c r="S33" s="207">
        <f t="shared" ref="S33:S40" si="7">+Q33*R33</f>
        <v>590017.08280422934</v>
      </c>
      <c r="T33" s="233">
        <f t="shared" si="6"/>
        <v>1770051.248412688</v>
      </c>
    </row>
    <row r="34" spans="1:20" ht="15.75" x14ac:dyDescent="0.25">
      <c r="A34" s="150"/>
      <c r="B34" s="153"/>
      <c r="C34" s="154"/>
      <c r="H34" s="178">
        <v>44012</v>
      </c>
      <c r="I34" s="207">
        <f t="shared" si="0"/>
        <v>296749.19345653546</v>
      </c>
      <c r="J34" s="105">
        <v>4</v>
      </c>
      <c r="K34" s="207">
        <f t="shared" si="2"/>
        <v>292713.44107491238</v>
      </c>
      <c r="L34" s="207">
        <f t="shared" si="3"/>
        <v>1170853.7642996495</v>
      </c>
      <c r="M34" s="233">
        <f t="shared" si="4"/>
        <v>5854268.8214982478</v>
      </c>
      <c r="N34" s="204"/>
      <c r="O34" s="106">
        <v>44012</v>
      </c>
      <c r="P34" s="207">
        <f t="shared" si="1"/>
        <v>296749.19345653546</v>
      </c>
      <c r="Q34" s="105">
        <v>3</v>
      </c>
      <c r="R34" s="109">
        <f t="shared" si="5"/>
        <v>294142.04795252118</v>
      </c>
      <c r="S34" s="207">
        <f t="shared" si="7"/>
        <v>882426.14385756361</v>
      </c>
      <c r="T34" s="233">
        <f t="shared" si="6"/>
        <v>3529704.5754302545</v>
      </c>
    </row>
    <row r="35" spans="1:20" ht="15.75" x14ac:dyDescent="0.25">
      <c r="A35" s="150"/>
      <c r="B35" s="153"/>
      <c r="C35" s="154"/>
      <c r="H35" s="178">
        <v>44043</v>
      </c>
      <c r="I35" s="207">
        <f t="shared" si="0"/>
        <v>296749.19345653546</v>
      </c>
      <c r="J35" s="105">
        <v>5</v>
      </c>
      <c r="K35" s="207">
        <f t="shared" si="2"/>
        <v>291713.10820801579</v>
      </c>
      <c r="L35" s="207">
        <f t="shared" si="3"/>
        <v>1458565.541040079</v>
      </c>
      <c r="M35" s="233">
        <f t="shared" si="4"/>
        <v>8751393.2462404743</v>
      </c>
      <c r="N35" s="204"/>
      <c r="O35" s="106">
        <v>44043</v>
      </c>
      <c r="P35" s="207">
        <f t="shared" si="1"/>
        <v>296749.19345653546</v>
      </c>
      <c r="Q35" s="105">
        <v>4</v>
      </c>
      <c r="R35" s="109">
        <f t="shared" si="5"/>
        <v>293278.09955092735</v>
      </c>
      <c r="S35" s="207">
        <f t="shared" si="7"/>
        <v>1173112.3982037094</v>
      </c>
      <c r="T35" s="233">
        <f t="shared" si="6"/>
        <v>5865561.9910185467</v>
      </c>
    </row>
    <row r="36" spans="1:20" ht="15.75" x14ac:dyDescent="0.25">
      <c r="A36" s="150"/>
      <c r="B36" s="153"/>
      <c r="C36" s="154"/>
      <c r="H36" s="178">
        <v>44074</v>
      </c>
      <c r="I36" s="207">
        <f t="shared" si="0"/>
        <v>296749.19345653546</v>
      </c>
      <c r="J36" s="105">
        <v>6</v>
      </c>
      <c r="K36" s="207">
        <f t="shared" si="2"/>
        <v>290716.19392634335</v>
      </c>
      <c r="L36" s="207">
        <f t="shared" si="3"/>
        <v>1744297.1635580601</v>
      </c>
      <c r="M36" s="233">
        <f t="shared" si="4"/>
        <v>12210080.14490642</v>
      </c>
      <c r="N36" s="204"/>
      <c r="O36" s="106">
        <v>44074</v>
      </c>
      <c r="P36" s="207">
        <f t="shared" si="1"/>
        <v>296749.19345653546</v>
      </c>
      <c r="Q36" s="170">
        <v>5</v>
      </c>
      <c r="R36" s="109">
        <f t="shared" si="5"/>
        <v>292416.68872206693</v>
      </c>
      <c r="S36" s="207">
        <f t="shared" si="7"/>
        <v>1462083.4436103348</v>
      </c>
      <c r="T36" s="233">
        <f t="shared" si="6"/>
        <v>8772500.6616620086</v>
      </c>
    </row>
    <row r="37" spans="1:20" ht="15.75" x14ac:dyDescent="0.25">
      <c r="A37" s="150"/>
      <c r="B37" s="153"/>
      <c r="C37" s="154"/>
      <c r="H37" s="178">
        <v>44104</v>
      </c>
      <c r="I37" s="207">
        <f t="shared" si="0"/>
        <v>296749.19345653546</v>
      </c>
      <c r="J37" s="105">
        <v>7</v>
      </c>
      <c r="K37" s="207">
        <f t="shared" si="2"/>
        <v>289722.6865470591</v>
      </c>
      <c r="L37" s="207">
        <f t="shared" si="3"/>
        <v>2028058.8058294137</v>
      </c>
      <c r="M37" s="233">
        <f t="shared" si="4"/>
        <v>16224470.44663531</v>
      </c>
      <c r="N37" s="204"/>
      <c r="O37" s="106">
        <v>44104</v>
      </c>
      <c r="P37" s="207">
        <f t="shared" si="1"/>
        <v>296749.19345653546</v>
      </c>
      <c r="Q37" s="170">
        <v>6</v>
      </c>
      <c r="R37" s="109">
        <f t="shared" si="5"/>
        <v>291557.80801262968</v>
      </c>
      <c r="S37" s="207">
        <f t="shared" si="7"/>
        <v>1749346.8480757782</v>
      </c>
      <c r="T37" s="233">
        <f t="shared" si="6"/>
        <v>12245427.936530447</v>
      </c>
    </row>
    <row r="38" spans="1:20" ht="15.75" x14ac:dyDescent="0.25">
      <c r="A38" s="150"/>
      <c r="B38" s="153"/>
      <c r="C38" s="154"/>
      <c r="H38" s="178">
        <v>44135</v>
      </c>
      <c r="I38" s="207">
        <f t="shared" si="0"/>
        <v>296749.19345653546</v>
      </c>
      <c r="J38" s="105">
        <v>8</v>
      </c>
      <c r="K38" s="207">
        <f t="shared" si="2"/>
        <v>288732.57442725229</v>
      </c>
      <c r="L38" s="207">
        <f t="shared" si="3"/>
        <v>2309860.5954180183</v>
      </c>
      <c r="M38" s="233">
        <f t="shared" si="4"/>
        <v>20788745.358762164</v>
      </c>
      <c r="N38" s="204"/>
      <c r="O38" s="106">
        <v>44135</v>
      </c>
      <c r="P38" s="207">
        <f t="shared" si="1"/>
        <v>296749.19345653546</v>
      </c>
      <c r="Q38" s="170">
        <v>7</v>
      </c>
      <c r="R38" s="109">
        <f t="shared" si="5"/>
        <v>290701.44999119721</v>
      </c>
      <c r="S38" s="207">
        <f t="shared" si="7"/>
        <v>2034910.1499383803</v>
      </c>
      <c r="T38" s="233">
        <f t="shared" si="6"/>
        <v>16279281.199507043</v>
      </c>
    </row>
    <row r="39" spans="1:20" ht="15.75" x14ac:dyDescent="0.25">
      <c r="A39" s="150"/>
      <c r="B39" s="153"/>
      <c r="C39" s="154"/>
      <c r="H39" s="178">
        <v>44165</v>
      </c>
      <c r="I39" s="207">
        <f t="shared" si="0"/>
        <v>296749.19345653546</v>
      </c>
      <c r="J39" s="105">
        <v>9</v>
      </c>
      <c r="K39" s="207">
        <f t="shared" si="2"/>
        <v>287745.84596380143</v>
      </c>
      <c r="L39" s="207">
        <f t="shared" si="3"/>
        <v>2589712.6136742127</v>
      </c>
      <c r="M39" s="233">
        <f t="shared" si="4"/>
        <v>25897126.13674213</v>
      </c>
      <c r="N39" s="204"/>
      <c r="O39" s="106">
        <v>44165</v>
      </c>
      <c r="P39" s="207">
        <f t="shared" si="1"/>
        <v>296749.19345653546</v>
      </c>
      <c r="Q39" s="170">
        <v>8</v>
      </c>
      <c r="R39" s="109">
        <f t="shared" si="5"/>
        <v>289847.60724817857</v>
      </c>
      <c r="S39" s="207">
        <f t="shared" si="7"/>
        <v>2318780.8579854285</v>
      </c>
      <c r="T39" s="233">
        <f t="shared" si="6"/>
        <v>20869027.721868858</v>
      </c>
    </row>
    <row r="40" spans="1:20" ht="15.75" x14ac:dyDescent="0.25">
      <c r="A40" s="150"/>
      <c r="B40" s="153"/>
      <c r="C40" s="154"/>
      <c r="G40" s="168"/>
      <c r="H40" s="178">
        <v>44196</v>
      </c>
      <c r="I40" s="207">
        <f>+($D$17*D19)+D17</f>
        <v>69742178.79345654</v>
      </c>
      <c r="J40" s="105">
        <v>10</v>
      </c>
      <c r="K40" s="207">
        <f t="shared" si="2"/>
        <v>67395097.481192037</v>
      </c>
      <c r="L40" s="207">
        <f t="shared" si="3"/>
        <v>673950974.8119204</v>
      </c>
      <c r="M40" s="233">
        <f t="shared" si="4"/>
        <v>7413460722.9311237</v>
      </c>
      <c r="N40" s="204"/>
      <c r="O40" s="106">
        <v>44196</v>
      </c>
      <c r="P40" s="207">
        <f>+($D$17*$D$19)+D17</f>
        <v>69742178.79345654</v>
      </c>
      <c r="Q40" s="170">
        <v>9</v>
      </c>
      <c r="R40" s="109">
        <f t="shared" si="5"/>
        <v>67920082.495586321</v>
      </c>
      <c r="S40" s="207">
        <f t="shared" si="7"/>
        <v>611280742.46027684</v>
      </c>
      <c r="T40" s="233">
        <f t="shared" si="6"/>
        <v>6112807424.6027689</v>
      </c>
    </row>
    <row r="41" spans="1:20" ht="18.75" thickBot="1" x14ac:dyDescent="0.3">
      <c r="A41" s="150"/>
      <c r="B41" s="153"/>
      <c r="C41" s="154"/>
      <c r="G41" s="169"/>
      <c r="H41" s="185"/>
      <c r="I41" s="186"/>
      <c r="J41" s="186"/>
      <c r="K41" s="208">
        <f>+SUM(K30:K40)</f>
        <v>70020618.013702601</v>
      </c>
      <c r="L41" s="206">
        <f>+SUM(L31:L40)</f>
        <v>687018658.79609907</v>
      </c>
      <c r="M41" s="206">
        <f t="shared" ref="M41" si="8">+SUM(M31:M40)</f>
        <v>7509071230.1311188</v>
      </c>
      <c r="N41" s="236"/>
      <c r="O41" s="186"/>
      <c r="P41" s="186"/>
      <c r="Q41" s="186"/>
      <c r="R41" s="208">
        <f>+SUM(R30:R40)</f>
        <v>70262912.325862944</v>
      </c>
      <c r="S41" s="206">
        <f t="shared" ref="S41:T41" si="9">+SUM(S31:S40)</f>
        <v>621787296.97214925</v>
      </c>
      <c r="T41" s="234">
        <f t="shared" si="9"/>
        <v>6182730735.1119928</v>
      </c>
    </row>
    <row r="42" spans="1:20" ht="15.75" x14ac:dyDescent="0.25">
      <c r="A42" s="150"/>
      <c r="B42" s="153"/>
      <c r="C42" s="154"/>
      <c r="G42" s="169"/>
      <c r="J42" s="173"/>
      <c r="K42" s="173"/>
      <c r="L42" s="173"/>
      <c r="M42" s="173"/>
      <c r="N42" s="173"/>
    </row>
    <row r="43" spans="1:20" ht="15.75" x14ac:dyDescent="0.25">
      <c r="H43" s="369" t="s">
        <v>209</v>
      </c>
      <c r="I43" s="369"/>
      <c r="J43" s="369"/>
      <c r="K43" s="369"/>
      <c r="L43" s="369"/>
      <c r="M43" s="369"/>
      <c r="N43" s="174"/>
      <c r="O43" s="373" t="s">
        <v>209</v>
      </c>
      <c r="P43" s="373"/>
      <c r="Q43" s="373"/>
      <c r="R43" s="373"/>
      <c r="S43" s="373"/>
      <c r="T43" s="373"/>
    </row>
    <row r="44" spans="1:20" x14ac:dyDescent="0.25">
      <c r="H44"/>
      <c r="I44"/>
      <c r="J44"/>
      <c r="K44"/>
      <c r="L44" s="212"/>
      <c r="M44" s="212"/>
      <c r="O44" s="253"/>
      <c r="P44" s="253"/>
      <c r="Q44" s="253"/>
      <c r="R44" s="253"/>
      <c r="S44" s="255"/>
      <c r="T44" s="255"/>
    </row>
    <row r="45" spans="1:20" x14ac:dyDescent="0.25">
      <c r="H45" s="213" t="s">
        <v>149</v>
      </c>
      <c r="I45">
        <v>12</v>
      </c>
      <c r="J45" s="213" t="s">
        <v>208</v>
      </c>
      <c r="K45"/>
      <c r="L45"/>
      <c r="M45"/>
      <c r="O45" s="256" t="s">
        <v>149</v>
      </c>
      <c r="P45" s="253">
        <v>12</v>
      </c>
      <c r="Q45" s="256" t="s">
        <v>208</v>
      </c>
      <c r="R45" s="253"/>
      <c r="S45" s="253"/>
      <c r="T45" s="253"/>
    </row>
    <row r="46" spans="1:20" ht="15.75" x14ac:dyDescent="0.25">
      <c r="H46" s="214" t="s">
        <v>154</v>
      </c>
      <c r="I46" s="214" t="s">
        <v>155</v>
      </c>
      <c r="J46" s="214"/>
      <c r="K46" s="214"/>
      <c r="L46"/>
      <c r="M46"/>
      <c r="O46" s="257" t="s">
        <v>154</v>
      </c>
      <c r="P46" s="257" t="s">
        <v>155</v>
      </c>
      <c r="Q46" s="257"/>
      <c r="R46" s="257"/>
      <c r="S46" s="253"/>
      <c r="T46" s="253"/>
    </row>
    <row r="47" spans="1:20" ht="15.75" x14ac:dyDescent="0.25">
      <c r="H47" s="214" t="s">
        <v>154</v>
      </c>
      <c r="I47" s="215"/>
      <c r="J47" s="216">
        <f>+L41/(I45*K41)</f>
        <v>0.8176385259620409</v>
      </c>
      <c r="K47" s="214"/>
      <c r="L47"/>
      <c r="M47"/>
      <c r="O47" s="257" t="s">
        <v>154</v>
      </c>
      <c r="P47" s="258"/>
      <c r="Q47" s="259">
        <f>+S41/(P45*R41)</f>
        <v>0.73745317929185417</v>
      </c>
      <c r="R47" s="257"/>
      <c r="S47" s="252" t="s">
        <v>215</v>
      </c>
      <c r="T47" s="253"/>
    </row>
    <row r="48" spans="1:20" ht="15.75" x14ac:dyDescent="0.25">
      <c r="H48" s="214"/>
      <c r="I48" s="214"/>
      <c r="J48" s="214"/>
      <c r="K48" s="214"/>
      <c r="L48"/>
      <c r="M48"/>
      <c r="O48" s="257"/>
      <c r="P48" s="257"/>
      <c r="Q48" s="257"/>
      <c r="R48" s="257"/>
      <c r="S48" s="253"/>
      <c r="T48" s="253"/>
    </row>
    <row r="49" spans="8:20" ht="15.75" x14ac:dyDescent="0.25">
      <c r="H49" s="214" t="s">
        <v>156</v>
      </c>
      <c r="I49" s="214" t="s">
        <v>157</v>
      </c>
      <c r="J49" s="214"/>
      <c r="K49" s="214"/>
      <c r="L49"/>
      <c r="M49"/>
      <c r="O49" s="257" t="s">
        <v>156</v>
      </c>
      <c r="P49" s="257" t="s">
        <v>157</v>
      </c>
      <c r="Q49" s="257"/>
      <c r="R49" s="257"/>
      <c r="S49" s="253"/>
      <c r="T49" s="253"/>
    </row>
    <row r="50" spans="8:20" ht="20.25" x14ac:dyDescent="0.3">
      <c r="H50" s="214" t="s">
        <v>156</v>
      </c>
      <c r="I50" s="217">
        <f>+J47/(1+J15/I45)</f>
        <v>0.81484428908737883</v>
      </c>
      <c r="J50" s="214"/>
      <c r="K50" s="214"/>
      <c r="L50"/>
      <c r="M50"/>
      <c r="O50" s="257" t="s">
        <v>156</v>
      </c>
      <c r="P50" s="260">
        <f>+Q47/(1+Q15/P45)</f>
        <v>0.73528714590786715</v>
      </c>
      <c r="Q50" s="257"/>
      <c r="R50" s="257"/>
      <c r="S50" s="253"/>
      <c r="T50" s="253"/>
    </row>
    <row r="51" spans="8:20" ht="15.75" x14ac:dyDescent="0.25">
      <c r="H51" s="214"/>
      <c r="I51" s="214"/>
      <c r="J51" s="214"/>
      <c r="K51" s="214"/>
      <c r="L51"/>
      <c r="M51"/>
      <c r="O51" s="257"/>
      <c r="P51" s="257"/>
      <c r="Q51" s="257"/>
      <c r="R51" s="257"/>
      <c r="S51" s="253"/>
      <c r="T51" s="253"/>
    </row>
    <row r="52" spans="8:20" ht="20.25" x14ac:dyDescent="0.3">
      <c r="H52" s="218" t="s">
        <v>160</v>
      </c>
      <c r="I52" s="219">
        <f>+M41/(((1+J15/I45)^2)*((I45^2)*K41))</f>
        <v>0.73964674657846252</v>
      </c>
      <c r="J52" s="214"/>
      <c r="K52" s="220"/>
      <c r="L52"/>
      <c r="M52"/>
      <c r="O52" s="261" t="s">
        <v>160</v>
      </c>
      <c r="P52" s="262">
        <f>+T41/(((1+Q15/P45)^2)*((P45^2)*R41))</f>
        <v>0.60748664800156826</v>
      </c>
      <c r="Q52" s="257"/>
      <c r="R52" s="263"/>
      <c r="S52" s="253"/>
      <c r="T52" s="253"/>
    </row>
    <row r="53" spans="8:20" ht="15.75" x14ac:dyDescent="0.25">
      <c r="H53" s="214"/>
      <c r="I53" s="221"/>
      <c r="J53" s="214"/>
      <c r="K53" s="214"/>
      <c r="L53"/>
      <c r="M53"/>
      <c r="O53" s="257"/>
      <c r="P53" s="264"/>
      <c r="Q53" s="257"/>
      <c r="R53" s="257"/>
      <c r="S53" s="253"/>
      <c r="T53" s="253"/>
    </row>
    <row r="54" spans="8:20" ht="15.75" x14ac:dyDescent="0.25">
      <c r="H54" s="214"/>
      <c r="I54" s="222"/>
      <c r="J54" s="214"/>
      <c r="K54" s="214"/>
      <c r="L54"/>
      <c r="M54"/>
      <c r="O54" s="257"/>
      <c r="P54" s="265"/>
      <c r="Q54" s="257"/>
      <c r="R54" s="257"/>
      <c r="S54" s="253"/>
      <c r="T54" s="253"/>
    </row>
    <row r="55" spans="8:20" x14ac:dyDescent="0.25">
      <c r="H55"/>
      <c r="I55" s="375" t="s">
        <v>206</v>
      </c>
      <c r="J55" s="375"/>
      <c r="K55" s="375"/>
      <c r="L55" s="375"/>
      <c r="M55"/>
      <c r="O55" s="253"/>
      <c r="P55" s="374" t="s">
        <v>207</v>
      </c>
      <c r="Q55" s="374"/>
      <c r="R55" s="374"/>
      <c r="S55" s="374"/>
      <c r="T55" s="253"/>
    </row>
    <row r="56" spans="8:20" ht="15.75" x14ac:dyDescent="0.25">
      <c r="H56"/>
      <c r="I56" s="370" t="s">
        <v>210</v>
      </c>
      <c r="J56" s="370"/>
      <c r="K56" s="376">
        <f>+J47</f>
        <v>0.8176385259620409</v>
      </c>
      <c r="L56" s="376"/>
      <c r="M56"/>
      <c r="O56" s="253"/>
      <c r="P56" s="371" t="s">
        <v>210</v>
      </c>
      <c r="Q56" s="371"/>
      <c r="R56" s="372">
        <f>+Q47</f>
        <v>0.73745317929185417</v>
      </c>
      <c r="S56" s="372"/>
      <c r="T56" s="253"/>
    </row>
    <row r="57" spans="8:20" ht="15.75" x14ac:dyDescent="0.25">
      <c r="H57"/>
      <c r="I57" s="370" t="s">
        <v>211</v>
      </c>
      <c r="J57" s="370"/>
      <c r="K57" s="376">
        <f>+I50</f>
        <v>0.81484428908737883</v>
      </c>
      <c r="L57" s="376"/>
      <c r="M57"/>
      <c r="O57" s="253"/>
      <c r="P57" s="371" t="s">
        <v>211</v>
      </c>
      <c r="Q57" s="371"/>
      <c r="R57" s="372">
        <f>+P50</f>
        <v>0.73528714590786715</v>
      </c>
      <c r="S57" s="372"/>
      <c r="T57" s="253"/>
    </row>
    <row r="58" spans="8:20" ht="15.75" x14ac:dyDescent="0.25">
      <c r="H58"/>
      <c r="I58" s="370" t="s">
        <v>160</v>
      </c>
      <c r="J58" s="370"/>
      <c r="K58" s="376">
        <f>+I52</f>
        <v>0.73964674657846252</v>
      </c>
      <c r="L58" s="376"/>
      <c r="M58"/>
      <c r="O58" s="253"/>
      <c r="P58" s="371" t="s">
        <v>160</v>
      </c>
      <c r="Q58" s="371"/>
      <c r="R58" s="372">
        <f>+P52</f>
        <v>0.60748664800156826</v>
      </c>
      <c r="S58" s="372"/>
      <c r="T58" s="253"/>
    </row>
    <row r="59" spans="8:20" x14ac:dyDescent="0.25">
      <c r="O59" s="253"/>
      <c r="P59" s="253"/>
      <c r="Q59" s="253"/>
      <c r="R59" s="253"/>
      <c r="S59" s="253"/>
      <c r="T59" s="253"/>
    </row>
    <row r="60" spans="8:20" ht="15.75" x14ac:dyDescent="0.25">
      <c r="I60" s="370" t="s">
        <v>161</v>
      </c>
      <c r="J60" s="370"/>
      <c r="K60" s="223">
        <v>0.01</v>
      </c>
      <c r="L60" s="214" t="s">
        <v>162</v>
      </c>
      <c r="O60" s="253"/>
      <c r="P60" s="371" t="s">
        <v>161</v>
      </c>
      <c r="Q60" s="371"/>
      <c r="R60" s="266">
        <v>0.01</v>
      </c>
      <c r="S60" s="257" t="s">
        <v>162</v>
      </c>
      <c r="T60" s="253"/>
    </row>
    <row r="61" spans="8:20" ht="15.75" x14ac:dyDescent="0.25">
      <c r="I61" s="370" t="s">
        <v>163</v>
      </c>
      <c r="J61" s="370"/>
      <c r="K61" s="224">
        <f>-K60*I50</f>
        <v>-8.1484428908737885E-3</v>
      </c>
      <c r="L61" s="214"/>
      <c r="O61" s="253"/>
      <c r="P61" s="371" t="s">
        <v>163</v>
      </c>
      <c r="Q61" s="371"/>
      <c r="R61" s="267">
        <f>-R60*P50</f>
        <v>-7.3528714590786713E-3</v>
      </c>
      <c r="S61" s="257"/>
      <c r="T61" s="253"/>
    </row>
    <row r="62" spans="8:20" ht="15.75" x14ac:dyDescent="0.25">
      <c r="I62" s="370" t="s">
        <v>164</v>
      </c>
      <c r="J62" s="370"/>
      <c r="K62" s="225">
        <f>+(1/2)*I52*(K60^2)</f>
        <v>3.6982337328923129E-5</v>
      </c>
      <c r="L62" s="214"/>
      <c r="O62" s="253"/>
      <c r="P62" s="371" t="s">
        <v>164</v>
      </c>
      <c r="Q62" s="371"/>
      <c r="R62" s="268">
        <f>+(1/2)*P52*(R60^2)</f>
        <v>3.0374332400078414E-5</v>
      </c>
      <c r="S62" s="257"/>
      <c r="T62" s="253"/>
    </row>
    <row r="63" spans="8:20" ht="15.75" x14ac:dyDescent="0.25">
      <c r="I63" s="379"/>
      <c r="J63" s="380"/>
      <c r="K63" s="224"/>
      <c r="L63" s="214"/>
      <c r="O63" s="253"/>
      <c r="P63" s="377"/>
      <c r="Q63" s="378"/>
      <c r="R63" s="267"/>
      <c r="S63" s="257"/>
      <c r="T63" s="253"/>
    </row>
    <row r="64" spans="8:20" ht="15.75" x14ac:dyDescent="0.25">
      <c r="I64" s="381" t="s">
        <v>166</v>
      </c>
      <c r="J64" s="382"/>
      <c r="K64" s="226">
        <f>+SUM(K61:K62)</f>
        <v>-8.1114605535448654E-3</v>
      </c>
      <c r="L64" s="214"/>
      <c r="O64" s="253"/>
      <c r="P64" s="383" t="s">
        <v>166</v>
      </c>
      <c r="Q64" s="384"/>
      <c r="R64" s="269">
        <f>+SUM(R61:R62)</f>
        <v>-7.3224971266785928E-3</v>
      </c>
      <c r="S64" s="257"/>
      <c r="T64" s="253"/>
    </row>
    <row r="65" spans="9:20" ht="15.75" x14ac:dyDescent="0.25">
      <c r="I65" s="228"/>
      <c r="J65" s="229"/>
      <c r="K65" s="224"/>
      <c r="L65" s="214"/>
      <c r="M65" s="214"/>
      <c r="O65" s="253"/>
      <c r="P65" s="270"/>
      <c r="Q65" s="271"/>
      <c r="R65" s="267"/>
      <c r="S65" s="257"/>
      <c r="T65" s="253"/>
    </row>
    <row r="66" spans="9:20" ht="15.75" x14ac:dyDescent="0.25">
      <c r="I66" s="381" t="s">
        <v>167</v>
      </c>
      <c r="J66" s="382"/>
      <c r="K66" s="227">
        <f>+K41*(1+K64)</f>
        <v>69452648.532749623</v>
      </c>
      <c r="L66" s="254">
        <f>+K66-K41</f>
        <v>-567969.48095297813</v>
      </c>
      <c r="O66" s="253"/>
      <c r="P66" s="383" t="s">
        <v>167</v>
      </c>
      <c r="Q66" s="384"/>
      <c r="R66" s="227">
        <f>+R41*(1+R64)</f>
        <v>69748412.35224475</v>
      </c>
      <c r="S66" s="257"/>
      <c r="T66" s="253"/>
    </row>
    <row r="67" spans="9:20" x14ac:dyDescent="0.25">
      <c r="O67" s="253"/>
      <c r="P67" s="253"/>
      <c r="Q67" s="253"/>
      <c r="R67" s="253"/>
      <c r="S67" s="253"/>
      <c r="T67" s="253"/>
    </row>
    <row r="68" spans="9:20" ht="15.75" x14ac:dyDescent="0.25">
      <c r="I68" s="370" t="s">
        <v>161</v>
      </c>
      <c r="J68" s="370"/>
      <c r="K68" s="223">
        <v>-0.02</v>
      </c>
      <c r="L68" s="214" t="s">
        <v>186</v>
      </c>
      <c r="O68" s="253"/>
      <c r="P68" s="371" t="s">
        <v>161</v>
      </c>
      <c r="Q68" s="371"/>
      <c r="R68" s="266">
        <v>-0.02</v>
      </c>
      <c r="S68" s="257" t="s">
        <v>186</v>
      </c>
      <c r="T68" s="253"/>
    </row>
    <row r="69" spans="9:20" ht="15.75" x14ac:dyDescent="0.25">
      <c r="I69" s="370" t="s">
        <v>163</v>
      </c>
      <c r="J69" s="370"/>
      <c r="K69" s="224">
        <f>-K68*I50</f>
        <v>1.6296885781747577E-2</v>
      </c>
      <c r="L69" s="214"/>
      <c r="O69" s="253"/>
      <c r="P69" s="371" t="s">
        <v>163</v>
      </c>
      <c r="Q69" s="371"/>
      <c r="R69" s="267">
        <f>-R68*P50</f>
        <v>1.4705742918157343E-2</v>
      </c>
      <c r="S69" s="257"/>
      <c r="T69" s="253"/>
    </row>
    <row r="70" spans="9:20" ht="15.75" x14ac:dyDescent="0.25">
      <c r="I70" s="370" t="s">
        <v>164</v>
      </c>
      <c r="J70" s="370"/>
      <c r="K70" s="225">
        <f>+(1/2)*I52*(K68^2)</f>
        <v>1.4792934931569251E-4</v>
      </c>
      <c r="L70" s="214"/>
      <c r="O70" s="253"/>
      <c r="P70" s="371" t="s">
        <v>164</v>
      </c>
      <c r="Q70" s="371"/>
      <c r="R70" s="268">
        <f>+(1/2)*P52*(R68^2)</f>
        <v>1.2149732960031365E-4</v>
      </c>
      <c r="S70" s="257"/>
      <c r="T70" s="253"/>
    </row>
    <row r="71" spans="9:20" ht="15.75" x14ac:dyDescent="0.25">
      <c r="I71" s="379"/>
      <c r="J71" s="380"/>
      <c r="K71" s="224"/>
      <c r="L71" s="214"/>
      <c r="O71" s="253"/>
      <c r="P71" s="377"/>
      <c r="Q71" s="378"/>
      <c r="R71" s="267"/>
      <c r="S71" s="257"/>
      <c r="T71" s="253"/>
    </row>
    <row r="72" spans="9:20" ht="15.75" x14ac:dyDescent="0.25">
      <c r="I72" s="381" t="s">
        <v>166</v>
      </c>
      <c r="J72" s="382"/>
      <c r="K72" s="226">
        <f>+SUM(K69:K70)</f>
        <v>1.6444815131063269E-2</v>
      </c>
      <c r="L72" s="214"/>
      <c r="O72" s="253"/>
      <c r="P72" s="383" t="s">
        <v>166</v>
      </c>
      <c r="Q72" s="384"/>
      <c r="R72" s="269">
        <f>+SUM(R69:R70)</f>
        <v>1.4827240247757657E-2</v>
      </c>
      <c r="S72" s="257"/>
      <c r="T72" s="253"/>
    </row>
    <row r="73" spans="9:20" ht="15.75" x14ac:dyDescent="0.25">
      <c r="I73" s="228"/>
      <c r="J73" s="229"/>
      <c r="K73" s="224"/>
      <c r="L73" s="214"/>
      <c r="M73" s="214"/>
      <c r="O73" s="253"/>
      <c r="P73" s="270"/>
      <c r="Q73" s="271"/>
      <c r="R73" s="267"/>
      <c r="S73" s="257"/>
      <c r="T73" s="253"/>
    </row>
    <row r="74" spans="9:20" ht="15.75" x14ac:dyDescent="0.25">
      <c r="I74" s="381" t="s">
        <v>167</v>
      </c>
      <c r="J74" s="382"/>
      <c r="K74" s="227">
        <f>+K41*(1+K72)</f>
        <v>71172094.132300735</v>
      </c>
      <c r="L74" s="254">
        <f>+K74-K41</f>
        <v>1151476.1185981333</v>
      </c>
      <c r="O74" s="253"/>
      <c r="P74" s="383" t="s">
        <v>167</v>
      </c>
      <c r="Q74" s="384"/>
      <c r="R74" s="227">
        <f>+R41*(1+R72)</f>
        <v>71304717.407425642</v>
      </c>
      <c r="S74" s="257"/>
      <c r="T74" s="253"/>
    </row>
    <row r="75" spans="9:20" x14ac:dyDescent="0.25">
      <c r="O75" s="253"/>
      <c r="P75" s="253"/>
      <c r="Q75" s="253"/>
      <c r="R75" s="253"/>
      <c r="S75" s="253"/>
      <c r="T75" s="253"/>
    </row>
  </sheetData>
  <sheetProtection sheet="1" formatCells="0" formatColumns="0" formatRows="0" insertColumns="0" insertRows="0" insertHyperlinks="0" deleteColumns="0" deleteRows="0" sort="0" autoFilter="0" pivotTables="0"/>
  <mergeCells count="43">
    <mergeCell ref="I74:J74"/>
    <mergeCell ref="I63:J63"/>
    <mergeCell ref="I66:J66"/>
    <mergeCell ref="I64:J64"/>
    <mergeCell ref="I68:J68"/>
    <mergeCell ref="I69:J69"/>
    <mergeCell ref="P74:Q74"/>
    <mergeCell ref="P64:Q64"/>
    <mergeCell ref="P66:Q66"/>
    <mergeCell ref="P68:Q68"/>
    <mergeCell ref="P69:Q69"/>
    <mergeCell ref="P70:Q70"/>
    <mergeCell ref="P71:Q71"/>
    <mergeCell ref="P72:Q72"/>
    <mergeCell ref="I62:J62"/>
    <mergeCell ref="P63:Q63"/>
    <mergeCell ref="I70:J70"/>
    <mergeCell ref="I71:J71"/>
    <mergeCell ref="I72:J72"/>
    <mergeCell ref="P62:Q62"/>
    <mergeCell ref="H14:M14"/>
    <mergeCell ref="I55:L55"/>
    <mergeCell ref="I56:J56"/>
    <mergeCell ref="I57:J57"/>
    <mergeCell ref="I58:J58"/>
    <mergeCell ref="K56:L56"/>
    <mergeCell ref="K57:L57"/>
    <mergeCell ref="K58:L58"/>
    <mergeCell ref="O16:T16"/>
    <mergeCell ref="H43:M43"/>
    <mergeCell ref="I60:J60"/>
    <mergeCell ref="I61:J61"/>
    <mergeCell ref="H16:M16"/>
    <mergeCell ref="P58:Q58"/>
    <mergeCell ref="R58:S58"/>
    <mergeCell ref="P60:Q60"/>
    <mergeCell ref="P61:Q61"/>
    <mergeCell ref="O43:T43"/>
    <mergeCell ref="P55:S55"/>
    <mergeCell ref="P56:Q56"/>
    <mergeCell ref="R56:S56"/>
    <mergeCell ref="P57:Q57"/>
    <mergeCell ref="R57:S5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6516-FE1B-41DD-A4A6-3EC74712C3EB}">
  <sheetPr filterMode="1">
    <tabColor theme="5" tint="0.59999389629810485"/>
  </sheetPr>
  <dimension ref="A9:X129"/>
  <sheetViews>
    <sheetView showGridLines="0" topLeftCell="B10" zoomScale="80" zoomScaleNormal="80" workbookViewId="0">
      <selection activeCell="J27" sqref="J27"/>
    </sheetView>
  </sheetViews>
  <sheetFormatPr defaultColWidth="11.42578125" defaultRowHeight="15" x14ac:dyDescent="0.25"/>
  <cols>
    <col min="1" max="1" width="4" style="1" customWidth="1"/>
    <col min="2" max="2" width="34.140625" style="1" bestFit="1" customWidth="1"/>
    <col min="3" max="3" width="19.7109375" style="1" customWidth="1"/>
    <col min="4" max="4" width="14" style="1" bestFit="1" customWidth="1"/>
    <col min="5" max="5" width="6.28515625" style="1" bestFit="1" customWidth="1"/>
    <col min="6" max="6" width="13.5703125" style="1" bestFit="1" customWidth="1"/>
    <col min="7" max="7" width="7.5703125" style="1" customWidth="1"/>
    <col min="8" max="8" width="18.7109375" style="1" customWidth="1"/>
    <col min="9" max="9" width="18" style="1" bestFit="1" customWidth="1"/>
    <col min="10" max="10" width="13.85546875" style="1" customWidth="1"/>
    <col min="11" max="11" width="19" style="1" customWidth="1"/>
    <col min="12" max="12" width="4.42578125" style="1" customWidth="1"/>
    <col min="13" max="13" width="16" style="1" bestFit="1" customWidth="1"/>
    <col min="14" max="14" width="18.140625" style="1" bestFit="1" customWidth="1"/>
    <col min="15" max="15" width="12.42578125" style="1" customWidth="1"/>
    <col min="16" max="16" width="19" style="1" customWidth="1"/>
    <col min="17" max="17" width="17.7109375" style="1" customWidth="1"/>
    <col min="18" max="18" width="16.5703125" style="1" customWidth="1"/>
    <col min="19" max="19" width="14.5703125" style="1" bestFit="1" customWidth="1"/>
    <col min="20" max="21" width="11.42578125" style="1"/>
    <col min="22" max="22" width="23.28515625" style="1" customWidth="1"/>
    <col min="23" max="23" width="13" style="1" bestFit="1" customWidth="1"/>
    <col min="24" max="24" width="11.85546875" style="1" bestFit="1" customWidth="1"/>
    <col min="25" max="25" width="11.42578125" style="1"/>
    <col min="26" max="26" width="15.140625" style="1" customWidth="1"/>
    <col min="27" max="27" width="11.42578125" style="1"/>
    <col min="28" max="28" width="17.5703125" style="1" customWidth="1"/>
    <col min="29" max="31" width="11.42578125" style="1"/>
    <col min="32" max="33" width="13.28515625" style="1" customWidth="1"/>
    <col min="34" max="16384" width="11.42578125" style="1"/>
  </cols>
  <sheetData>
    <row r="9" spans="2:17" x14ac:dyDescent="0.25">
      <c r="B9" s="4" t="s">
        <v>50</v>
      </c>
    </row>
    <row r="10" spans="2:17" x14ac:dyDescent="0.25">
      <c r="B10" s="2" t="s">
        <v>183</v>
      </c>
    </row>
    <row r="11" spans="2:17" x14ac:dyDescent="0.25">
      <c r="B11" s="2" t="s">
        <v>182</v>
      </c>
    </row>
    <row r="12" spans="2:17" x14ac:dyDescent="0.25">
      <c r="B12" s="2" t="s">
        <v>184</v>
      </c>
    </row>
    <row r="13" spans="2:17" ht="15.75" thickBot="1" x14ac:dyDescent="0.3">
      <c r="B13" s="2" t="s">
        <v>185</v>
      </c>
    </row>
    <row r="14" spans="2:17" ht="16.5" thickBot="1" x14ac:dyDescent="0.3">
      <c r="B14" s="111" t="s">
        <v>110</v>
      </c>
      <c r="H14" s="362" t="s">
        <v>109</v>
      </c>
      <c r="I14" s="363"/>
      <c r="J14" s="363"/>
      <c r="K14" s="364"/>
      <c r="L14" s="247"/>
      <c r="M14" s="247"/>
      <c r="N14" s="247"/>
      <c r="O14" s="247"/>
      <c r="P14" s="247"/>
      <c r="Q14" s="174"/>
    </row>
    <row r="15" spans="2:17" x14ac:dyDescent="0.25">
      <c r="H15" s="172"/>
      <c r="I15" s="249">
        <f>+D26</f>
        <v>3.0849999999999999E-2</v>
      </c>
      <c r="J15" s="174"/>
      <c r="K15" s="175"/>
      <c r="L15" s="174"/>
      <c r="M15" s="173"/>
      <c r="N15" s="294"/>
      <c r="O15" s="173"/>
      <c r="P15" s="173"/>
      <c r="Q15" s="174"/>
    </row>
    <row r="16" spans="2:17" ht="15.75" customHeight="1" x14ac:dyDescent="0.25">
      <c r="B16" s="167" t="s">
        <v>189</v>
      </c>
      <c r="C16" s="149"/>
      <c r="D16" s="10"/>
      <c r="E16" s="10"/>
      <c r="H16" s="359" t="s">
        <v>221</v>
      </c>
      <c r="I16" s="360"/>
      <c r="J16" s="360"/>
      <c r="K16" s="361"/>
      <c r="L16" s="10"/>
      <c r="M16" s="385"/>
      <c r="N16" s="386"/>
      <c r="O16" s="386"/>
      <c r="P16" s="386"/>
      <c r="Q16" s="10"/>
    </row>
    <row r="17" spans="1:23" ht="16.5" thickBot="1" x14ac:dyDescent="0.3">
      <c r="B17" s="95" t="s">
        <v>22</v>
      </c>
      <c r="C17" s="10"/>
      <c r="D17" s="96">
        <f>+'X.2. Tabla de capitalización'!C15</f>
        <v>69445429.600000009</v>
      </c>
      <c r="E17" s="10"/>
      <c r="F17" s="10"/>
      <c r="G17" s="10"/>
      <c r="H17" s="314" t="s">
        <v>62</v>
      </c>
      <c r="I17" s="315" t="s">
        <v>63</v>
      </c>
      <c r="J17" s="315" t="s">
        <v>64</v>
      </c>
      <c r="K17" s="316" t="s">
        <v>65</v>
      </c>
      <c r="L17" s="10"/>
      <c r="M17" s="295"/>
      <c r="N17" s="295"/>
      <c r="O17" s="295"/>
      <c r="P17" s="295"/>
      <c r="Q17" s="2"/>
    </row>
    <row r="18" spans="1:23" ht="15.75" x14ac:dyDescent="0.25">
      <c r="B18" s="97" t="s">
        <v>66</v>
      </c>
      <c r="C18" s="10"/>
      <c r="D18" s="98">
        <v>5.2499999999999998E-2</v>
      </c>
      <c r="E18" s="100" t="s">
        <v>200</v>
      </c>
      <c r="F18" s="191"/>
      <c r="H18" s="311">
        <v>43524</v>
      </c>
      <c r="I18" s="312">
        <f>-D17</f>
        <v>-69445429.600000009</v>
      </c>
      <c r="J18" s="313"/>
      <c r="K18" s="313"/>
      <c r="L18" s="10"/>
      <c r="M18" s="235"/>
      <c r="N18" s="296"/>
      <c r="O18" s="166"/>
      <c r="P18" s="166"/>
      <c r="Q18" s="2"/>
    </row>
    <row r="19" spans="1:23" ht="15.75" x14ac:dyDescent="0.25">
      <c r="B19" s="97"/>
      <c r="C19" s="10"/>
      <c r="D19" s="188">
        <f>+((1+D18)^(1/12))-1</f>
        <v>4.2731277661580691E-3</v>
      </c>
      <c r="E19" s="100" t="s">
        <v>202</v>
      </c>
      <c r="H19" s="178">
        <v>43555</v>
      </c>
      <c r="I19" s="108">
        <f>+$D$17*$D$19</f>
        <v>296749.19345653546</v>
      </c>
      <c r="J19" s="6"/>
      <c r="K19" s="6"/>
      <c r="L19" s="10"/>
      <c r="M19" s="235"/>
      <c r="N19" s="289"/>
      <c r="O19" s="166"/>
      <c r="P19" s="166"/>
      <c r="Q19" s="2"/>
    </row>
    <row r="20" spans="1:23" ht="15.75" x14ac:dyDescent="0.25">
      <c r="B20" s="97" t="s">
        <v>68</v>
      </c>
      <c r="C20" s="10"/>
      <c r="D20" s="10" t="s">
        <v>105</v>
      </c>
      <c r="E20" s="10"/>
      <c r="G20" s="150"/>
      <c r="H20" s="178">
        <v>43585</v>
      </c>
      <c r="I20" s="108">
        <f t="shared" ref="I20:I39" si="0">+$D$17*$D$19</f>
        <v>296749.19345653546</v>
      </c>
      <c r="J20" s="6"/>
      <c r="K20" s="6"/>
      <c r="L20" s="10"/>
      <c r="M20" s="235"/>
      <c r="N20" s="289"/>
      <c r="O20" s="166"/>
      <c r="P20" s="166"/>
      <c r="Q20" s="2"/>
    </row>
    <row r="21" spans="1:23" ht="15.75" x14ac:dyDescent="0.25">
      <c r="B21" s="97" t="s">
        <v>70</v>
      </c>
      <c r="C21" s="10"/>
      <c r="D21" s="166" t="s">
        <v>190</v>
      </c>
      <c r="E21" s="166"/>
      <c r="F21" s="150"/>
      <c r="G21" s="150"/>
      <c r="H21" s="178">
        <v>43616</v>
      </c>
      <c r="I21" s="108">
        <f t="shared" si="0"/>
        <v>296749.19345653546</v>
      </c>
      <c r="J21" s="6"/>
      <c r="K21" s="6"/>
      <c r="L21" s="10"/>
      <c r="M21" s="235"/>
      <c r="N21" s="289"/>
      <c r="O21" s="166"/>
      <c r="P21" s="166"/>
      <c r="Q21" s="2"/>
    </row>
    <row r="22" spans="1:23" ht="15.75" x14ac:dyDescent="0.25">
      <c r="B22" s="97" t="s">
        <v>72</v>
      </c>
      <c r="C22" s="10"/>
      <c r="D22" s="10" t="s">
        <v>106</v>
      </c>
      <c r="E22" s="10"/>
      <c r="F22" s="150"/>
      <c r="G22" s="150"/>
      <c r="H22" s="178">
        <v>43646</v>
      </c>
      <c r="I22" s="108">
        <f t="shared" si="0"/>
        <v>296749.19345653546</v>
      </c>
      <c r="J22" s="6"/>
      <c r="K22" s="6"/>
      <c r="L22" s="10"/>
      <c r="M22" s="235"/>
      <c r="N22" s="289"/>
      <c r="O22" s="166"/>
      <c r="P22" s="166"/>
      <c r="Q22" s="2"/>
    </row>
    <row r="23" spans="1:23" ht="15.75" x14ac:dyDescent="0.25">
      <c r="B23" s="97" t="s">
        <v>74</v>
      </c>
      <c r="C23" s="10"/>
      <c r="D23" s="99">
        <v>0.98</v>
      </c>
      <c r="E23" s="10"/>
      <c r="G23" s="150"/>
      <c r="H23" s="178">
        <v>43677</v>
      </c>
      <c r="I23" s="108">
        <f t="shared" si="0"/>
        <v>296749.19345653546</v>
      </c>
      <c r="J23" s="6"/>
      <c r="K23" s="6"/>
      <c r="L23" s="10"/>
      <c r="M23" s="235"/>
      <c r="N23" s="289"/>
      <c r="O23" s="166"/>
      <c r="P23" s="166"/>
      <c r="Q23" s="2"/>
    </row>
    <row r="24" spans="1:23" ht="15.75" x14ac:dyDescent="0.25">
      <c r="B24" s="97" t="s">
        <v>75</v>
      </c>
      <c r="C24" s="10"/>
      <c r="D24" s="113">
        <v>43511</v>
      </c>
      <c r="E24" s="10"/>
      <c r="G24" s="150"/>
      <c r="H24" s="178">
        <v>43708</v>
      </c>
      <c r="I24" s="108">
        <f t="shared" si="0"/>
        <v>296749.19345653546</v>
      </c>
      <c r="J24" s="6"/>
      <c r="K24" s="6"/>
      <c r="L24" s="10"/>
      <c r="M24" s="235"/>
      <c r="N24" s="289"/>
      <c r="O24" s="166"/>
      <c r="P24" s="166"/>
      <c r="Q24" s="2"/>
    </row>
    <row r="25" spans="1:23" ht="15.75" x14ac:dyDescent="0.25">
      <c r="H25" s="178">
        <v>43738</v>
      </c>
      <c r="I25" s="108">
        <f t="shared" si="0"/>
        <v>296749.19345653546</v>
      </c>
      <c r="J25" s="6"/>
      <c r="K25" s="6"/>
      <c r="L25" s="10"/>
      <c r="M25" s="235"/>
      <c r="N25" s="289"/>
      <c r="O25" s="166"/>
      <c r="P25" s="166"/>
      <c r="Q25" s="2"/>
    </row>
    <row r="26" spans="1:23" ht="15.75" x14ac:dyDescent="0.25">
      <c r="A26" s="150"/>
      <c r="B26" s="163" t="s">
        <v>218</v>
      </c>
      <c r="C26" s="148"/>
      <c r="D26" s="164">
        <v>3.0849999999999999E-2</v>
      </c>
      <c r="E26" s="149" t="s">
        <v>195</v>
      </c>
      <c r="H26" s="178">
        <v>43769</v>
      </c>
      <c r="I26" s="108">
        <f t="shared" si="0"/>
        <v>296749.19345653546</v>
      </c>
      <c r="J26" s="6"/>
      <c r="K26" s="6"/>
      <c r="L26" s="10"/>
      <c r="M26" s="235"/>
      <c r="N26" s="289"/>
      <c r="O26" s="166"/>
      <c r="P26" s="166"/>
      <c r="Q26" s="2"/>
    </row>
    <row r="27" spans="1:23" ht="15.75" x14ac:dyDescent="0.25">
      <c r="A27" s="150"/>
      <c r="B27" s="163" t="s">
        <v>194</v>
      </c>
      <c r="C27" s="165"/>
      <c r="D27" s="164">
        <v>3.5349999999999999E-2</v>
      </c>
      <c r="E27" s="149" t="s">
        <v>195</v>
      </c>
      <c r="H27" s="178">
        <v>43799</v>
      </c>
      <c r="I27" s="108">
        <f t="shared" si="0"/>
        <v>296749.19345653546</v>
      </c>
      <c r="J27" s="6"/>
      <c r="K27" s="6"/>
      <c r="L27" s="10"/>
      <c r="M27" s="235"/>
      <c r="N27" s="289"/>
      <c r="O27" s="166"/>
      <c r="P27" s="166"/>
      <c r="Q27" s="2"/>
    </row>
    <row r="28" spans="1:23" ht="18" x14ac:dyDescent="0.25">
      <c r="A28" s="150"/>
      <c r="B28" s="151"/>
      <c r="C28" s="152"/>
      <c r="D28" s="148"/>
      <c r="H28" s="178">
        <v>43830</v>
      </c>
      <c r="I28" s="108">
        <f t="shared" si="0"/>
        <v>296749.19345653546</v>
      </c>
      <c r="J28" s="6"/>
      <c r="K28" s="6"/>
      <c r="L28" s="10"/>
      <c r="M28" s="235"/>
      <c r="N28" s="289"/>
      <c r="O28" s="166"/>
      <c r="P28" s="166"/>
      <c r="Q28" s="2"/>
    </row>
    <row r="29" spans="1:23" ht="15.75" x14ac:dyDescent="0.25">
      <c r="A29" s="150"/>
      <c r="B29" s="153"/>
      <c r="C29" s="154"/>
      <c r="H29" s="178">
        <v>43861</v>
      </c>
      <c r="I29" s="108">
        <f t="shared" si="0"/>
        <v>296749.19345653546</v>
      </c>
      <c r="J29" s="6"/>
      <c r="K29" s="6"/>
      <c r="L29" s="10"/>
      <c r="M29" s="235"/>
      <c r="N29" s="289"/>
      <c r="O29" s="166"/>
      <c r="P29" s="166"/>
      <c r="Q29" s="2"/>
    </row>
    <row r="30" spans="1:23" ht="15.75" x14ac:dyDescent="0.25">
      <c r="A30" s="150"/>
      <c r="B30" s="153"/>
      <c r="C30" s="154"/>
      <c r="H30" s="178">
        <v>43890</v>
      </c>
      <c r="I30" s="108">
        <f>+$D$17*$D$19</f>
        <v>296749.19345653546</v>
      </c>
      <c r="J30" s="105"/>
      <c r="K30" s="109"/>
      <c r="L30" s="174"/>
      <c r="M30" s="235"/>
      <c r="N30" s="289"/>
      <c r="O30" s="297"/>
      <c r="P30" s="298"/>
      <c r="R30" s="2"/>
    </row>
    <row r="31" spans="1:23" ht="18.75" thickBot="1" x14ac:dyDescent="0.3">
      <c r="A31" s="150"/>
      <c r="B31" s="153"/>
      <c r="C31" s="154"/>
      <c r="G31" s="147"/>
      <c r="H31" s="308">
        <v>43921</v>
      </c>
      <c r="I31" s="309">
        <f t="shared" si="0"/>
        <v>296749.19345653546</v>
      </c>
      <c r="J31" s="310"/>
      <c r="K31" s="195"/>
      <c r="L31" s="10"/>
      <c r="M31" s="291"/>
      <c r="N31" s="289"/>
      <c r="O31" s="299"/>
      <c r="P31" s="300"/>
      <c r="R31" s="251"/>
      <c r="S31" s="150"/>
      <c r="T31" s="150"/>
      <c r="U31" s="150"/>
      <c r="V31" s="150"/>
      <c r="W31" s="150"/>
    </row>
    <row r="32" spans="1:23" ht="18" x14ac:dyDescent="0.25">
      <c r="A32" s="150"/>
      <c r="B32" s="153"/>
      <c r="C32" s="154"/>
      <c r="H32" s="317">
        <v>43951</v>
      </c>
      <c r="I32" s="318">
        <f t="shared" si="0"/>
        <v>296749.19345653546</v>
      </c>
      <c r="J32" s="319"/>
      <c r="K32" s="320"/>
      <c r="L32" s="10"/>
      <c r="M32" s="235"/>
      <c r="N32" s="289"/>
      <c r="O32" s="288"/>
      <c r="P32" s="298"/>
      <c r="Q32" s="155"/>
      <c r="R32" s="251"/>
      <c r="S32" s="150"/>
      <c r="T32" s="150"/>
      <c r="U32" s="150"/>
      <c r="V32" s="150"/>
      <c r="W32" s="150"/>
    </row>
    <row r="33" spans="1:24" ht="15.75" x14ac:dyDescent="0.25">
      <c r="A33" s="150"/>
      <c r="B33" s="153"/>
      <c r="C33" s="154"/>
      <c r="H33" s="178">
        <v>43982</v>
      </c>
      <c r="I33" s="108">
        <f t="shared" si="0"/>
        <v>296749.19345653546</v>
      </c>
      <c r="J33" s="105">
        <v>1</v>
      </c>
      <c r="K33" s="184">
        <f>I33/(1+$I$15/12)^(J33)</f>
        <v>295988.25697921804</v>
      </c>
      <c r="L33" s="10"/>
      <c r="M33" s="235"/>
      <c r="N33" s="289"/>
      <c r="O33" s="288"/>
      <c r="P33" s="298"/>
      <c r="Q33" s="2"/>
      <c r="R33" s="251"/>
    </row>
    <row r="34" spans="1:24" ht="15.75" x14ac:dyDescent="0.25">
      <c r="A34" s="150"/>
      <c r="B34" s="153"/>
      <c r="C34" s="154"/>
      <c r="H34" s="178">
        <v>44012</v>
      </c>
      <c r="I34" s="108">
        <f t="shared" si="0"/>
        <v>296749.19345653546</v>
      </c>
      <c r="J34" s="105">
        <v>2</v>
      </c>
      <c r="K34" s="184">
        <f t="shared" ref="K34:K40" si="1">I34/(1+$I$15/12)^(J34)</f>
        <v>295229.27172648779</v>
      </c>
      <c r="L34" s="10"/>
      <c r="M34" s="235"/>
      <c r="N34" s="289"/>
      <c r="O34" s="288"/>
      <c r="P34" s="298"/>
      <c r="Q34" s="2"/>
      <c r="R34" s="251"/>
    </row>
    <row r="35" spans="1:24" ht="15.75" x14ac:dyDescent="0.25">
      <c r="A35" s="150"/>
      <c r="B35" s="153"/>
      <c r="C35" s="154"/>
      <c r="H35" s="178">
        <v>44043</v>
      </c>
      <c r="I35" s="108">
        <f t="shared" si="0"/>
        <v>296749.19345653546</v>
      </c>
      <c r="J35" s="105">
        <v>3</v>
      </c>
      <c r="K35" s="184">
        <f t="shared" si="1"/>
        <v>294472.23269493453</v>
      </c>
      <c r="L35" s="10"/>
      <c r="M35" s="235"/>
      <c r="N35" s="289"/>
      <c r="O35" s="288"/>
    </row>
    <row r="36" spans="1:24" ht="15.75" x14ac:dyDescent="0.25">
      <c r="A36" s="150"/>
      <c r="B36" s="153"/>
      <c r="C36" s="154"/>
      <c r="H36" s="178">
        <v>44074</v>
      </c>
      <c r="I36" s="108">
        <f t="shared" si="0"/>
        <v>296749.19345653546</v>
      </c>
      <c r="J36" s="105">
        <v>4</v>
      </c>
      <c r="K36" s="184">
        <f t="shared" si="1"/>
        <v>293717.1348939779</v>
      </c>
      <c r="L36" s="10"/>
      <c r="M36" s="235"/>
      <c r="N36" s="289"/>
      <c r="O36" s="288"/>
    </row>
    <row r="37" spans="1:24" ht="15.75" x14ac:dyDescent="0.25">
      <c r="A37" s="150"/>
      <c r="B37" s="153"/>
      <c r="C37" s="154"/>
      <c r="H37" s="178">
        <v>44104</v>
      </c>
      <c r="I37" s="108">
        <f t="shared" si="0"/>
        <v>296749.19345653546</v>
      </c>
      <c r="J37" s="105">
        <v>5</v>
      </c>
      <c r="K37" s="184">
        <f t="shared" si="1"/>
        <v>292963.97334583459</v>
      </c>
      <c r="L37" s="10"/>
      <c r="M37" s="235"/>
      <c r="N37" s="289"/>
      <c r="O37" s="288"/>
    </row>
    <row r="38" spans="1:24" ht="15.75" x14ac:dyDescent="0.25">
      <c r="A38" s="150"/>
      <c r="B38" s="153"/>
      <c r="C38" s="154"/>
      <c r="H38" s="178">
        <v>44135</v>
      </c>
      <c r="I38" s="108">
        <f t="shared" si="0"/>
        <v>296749.19345653546</v>
      </c>
      <c r="J38" s="105">
        <v>6</v>
      </c>
      <c r="K38" s="184">
        <f t="shared" si="1"/>
        <v>292212.74308548565</v>
      </c>
      <c r="L38" s="10"/>
      <c r="M38" s="235"/>
      <c r="N38" s="289"/>
      <c r="O38" s="288"/>
      <c r="P38" s="298"/>
      <c r="Q38" s="2"/>
      <c r="R38" s="251"/>
    </row>
    <row r="39" spans="1:24" ht="15.75" x14ac:dyDescent="0.25">
      <c r="A39" s="150"/>
      <c r="B39" s="153"/>
      <c r="C39" s="154"/>
      <c r="H39" s="178">
        <v>44165</v>
      </c>
      <c r="I39" s="108">
        <f t="shared" si="0"/>
        <v>296749.19345653546</v>
      </c>
      <c r="J39" s="105">
        <v>7</v>
      </c>
      <c r="K39" s="184">
        <f t="shared" si="1"/>
        <v>291463.43916064344</v>
      </c>
      <c r="L39" s="10"/>
      <c r="M39" s="235"/>
      <c r="N39" s="289"/>
      <c r="O39" s="288"/>
      <c r="P39" s="298"/>
      <c r="Q39" s="2"/>
      <c r="R39" s="251"/>
    </row>
    <row r="40" spans="1:24" ht="16.5" thickBot="1" x14ac:dyDescent="0.3">
      <c r="A40" s="150"/>
      <c r="B40" s="153"/>
      <c r="C40" s="154"/>
      <c r="F40" s="147"/>
      <c r="G40" s="168"/>
      <c r="H40" s="321">
        <v>44196</v>
      </c>
      <c r="I40" s="322">
        <f>+($D$17*D19)+D17</f>
        <v>69742178.79345654</v>
      </c>
      <c r="J40" s="323">
        <v>8</v>
      </c>
      <c r="K40" s="324">
        <f t="shared" si="1"/>
        <v>68324267.249298155</v>
      </c>
      <c r="L40" s="10"/>
      <c r="M40" s="235"/>
      <c r="N40" s="289"/>
      <c r="O40" s="288"/>
      <c r="P40" s="298"/>
      <c r="Q40" s="2"/>
      <c r="R40" s="251"/>
    </row>
    <row r="41" spans="1:24" ht="18.75" thickBot="1" x14ac:dyDescent="0.3">
      <c r="A41" s="150"/>
      <c r="B41" s="153"/>
      <c r="C41" s="154"/>
      <c r="G41" s="169"/>
      <c r="H41" s="185"/>
      <c r="I41" s="186"/>
      <c r="J41" s="186"/>
      <c r="K41" s="208">
        <f>+SUM(K30:K40)</f>
        <v>70380314.301184744</v>
      </c>
      <c r="L41" s="302"/>
      <c r="M41" s="166"/>
      <c r="N41" s="166"/>
      <c r="O41" s="166"/>
      <c r="P41" s="236"/>
      <c r="Q41" s="2"/>
    </row>
    <row r="42" spans="1:24" ht="15.75" x14ac:dyDescent="0.25">
      <c r="A42" s="150"/>
      <c r="B42" s="153"/>
      <c r="C42" s="154"/>
      <c r="G42" s="169"/>
      <c r="J42" s="173"/>
      <c r="K42" s="173"/>
      <c r="M42" s="173"/>
      <c r="N42" s="173"/>
      <c r="O42" s="173"/>
      <c r="P42" s="301"/>
      <c r="Q42" s="173"/>
      <c r="R42" s="173"/>
      <c r="S42" s="173"/>
      <c r="T42" s="173"/>
      <c r="U42" s="173"/>
      <c r="V42" s="173"/>
      <c r="W42" s="173"/>
      <c r="X42" s="173"/>
    </row>
    <row r="43" spans="1:24" ht="15.75" x14ac:dyDescent="0.25">
      <c r="A43" s="150"/>
      <c r="B43" s="153"/>
      <c r="C43" s="154"/>
      <c r="G43" s="168"/>
      <c r="H43" s="111" t="s">
        <v>219</v>
      </c>
      <c r="Q43" s="329"/>
      <c r="R43" s="173"/>
      <c r="S43" s="173"/>
      <c r="T43" s="173"/>
      <c r="U43" s="173"/>
      <c r="V43" s="173"/>
      <c r="W43" s="173"/>
      <c r="X43" s="173"/>
    </row>
    <row r="44" spans="1:24" ht="15.75" x14ac:dyDescent="0.25">
      <c r="A44" s="150"/>
      <c r="B44" s="153"/>
      <c r="C44" s="154"/>
      <c r="H44" s="279" t="s">
        <v>34</v>
      </c>
      <c r="I44" s="349" t="s">
        <v>44</v>
      </c>
      <c r="J44" s="349"/>
      <c r="K44" s="349"/>
      <c r="L44" s="349"/>
      <c r="M44" s="349"/>
      <c r="N44" s="50" t="s">
        <v>46</v>
      </c>
      <c r="O44" s="50" t="s">
        <v>47</v>
      </c>
      <c r="Q44" s="330"/>
      <c r="R44" s="387"/>
      <c r="S44" s="387"/>
      <c r="T44" s="387"/>
      <c r="U44" s="387"/>
      <c r="V44" s="387"/>
      <c r="W44" s="330"/>
      <c r="X44" s="330"/>
    </row>
    <row r="45" spans="1:24" ht="15.75" x14ac:dyDescent="0.25">
      <c r="A45" s="150"/>
      <c r="B45" s="153"/>
      <c r="C45" s="154"/>
      <c r="H45" s="325">
        <v>43951</v>
      </c>
      <c r="I45" s="350" t="s">
        <v>217</v>
      </c>
      <c r="J45" s="350"/>
      <c r="K45" s="350"/>
      <c r="L45" s="350"/>
      <c r="M45" s="350"/>
      <c r="N45" s="52"/>
      <c r="O45" s="281">
        <f>+I32</f>
        <v>296749.19345653546</v>
      </c>
      <c r="Q45" s="331"/>
      <c r="R45" s="388"/>
      <c r="S45" s="388"/>
      <c r="T45" s="388"/>
      <c r="U45" s="388"/>
      <c r="V45" s="388"/>
      <c r="W45" s="332"/>
      <c r="X45" s="328"/>
    </row>
    <row r="46" spans="1:24" ht="15.75" x14ac:dyDescent="0.25">
      <c r="A46" s="150"/>
      <c r="B46" s="153"/>
      <c r="C46" s="154"/>
      <c r="H46" s="325">
        <v>43951</v>
      </c>
      <c r="I46" s="350" t="s">
        <v>222</v>
      </c>
      <c r="J46" s="350"/>
      <c r="K46" s="350"/>
      <c r="L46" s="350"/>
      <c r="M46" s="350"/>
      <c r="N46" s="52">
        <f>+O45</f>
        <v>296749.19345653546</v>
      </c>
      <c r="O46" s="52"/>
      <c r="Q46" s="331"/>
      <c r="R46" s="388"/>
      <c r="S46" s="388"/>
      <c r="T46" s="388"/>
      <c r="U46" s="388"/>
      <c r="V46" s="388"/>
      <c r="W46" s="328"/>
      <c r="X46" s="332"/>
    </row>
    <row r="47" spans="1:24" ht="15.75" x14ac:dyDescent="0.25">
      <c r="A47" s="150"/>
      <c r="B47" s="153"/>
      <c r="C47" s="154"/>
      <c r="H47" s="326"/>
      <c r="Q47" s="173"/>
      <c r="R47" s="173"/>
      <c r="S47" s="173"/>
      <c r="T47" s="173"/>
      <c r="U47" s="173"/>
      <c r="V47" s="173"/>
      <c r="W47" s="173"/>
      <c r="X47" s="173"/>
    </row>
    <row r="48" spans="1:24" ht="15.75" x14ac:dyDescent="0.25">
      <c r="A48" s="150"/>
      <c r="B48" s="153"/>
      <c r="C48" s="154"/>
      <c r="H48" s="279" t="s">
        <v>34</v>
      </c>
      <c r="I48" s="349" t="s">
        <v>44</v>
      </c>
      <c r="J48" s="349"/>
      <c r="K48" s="349"/>
      <c r="L48" s="349"/>
      <c r="M48" s="349"/>
      <c r="N48" s="50" t="s">
        <v>46</v>
      </c>
      <c r="O48" s="50" t="s">
        <v>47</v>
      </c>
      <c r="Q48" s="330"/>
      <c r="R48" s="387"/>
      <c r="S48" s="387"/>
      <c r="T48" s="387"/>
      <c r="U48" s="387"/>
      <c r="V48" s="387"/>
      <c r="W48" s="330"/>
      <c r="X48" s="330"/>
    </row>
    <row r="49" spans="1:24" ht="15.75" x14ac:dyDescent="0.25">
      <c r="A49" s="150"/>
      <c r="B49" s="153"/>
      <c r="C49" s="154"/>
      <c r="H49" s="325">
        <v>43951</v>
      </c>
      <c r="I49" s="350" t="s">
        <v>48</v>
      </c>
      <c r="J49" s="350"/>
      <c r="K49" s="350"/>
      <c r="L49" s="350"/>
      <c r="M49" s="350"/>
      <c r="N49" s="52">
        <f>+K41-('X.4. Valoración feb y mar'!R51-O45)</f>
        <v>414151.16877833009</v>
      </c>
      <c r="O49" s="52"/>
      <c r="Q49" s="331"/>
      <c r="R49" s="388"/>
      <c r="S49" s="388"/>
      <c r="T49" s="388"/>
      <c r="U49" s="388"/>
      <c r="V49" s="388"/>
      <c r="W49" s="328"/>
      <c r="X49" s="328"/>
    </row>
    <row r="50" spans="1:24" ht="16.5" thickBot="1" x14ac:dyDescent="0.3">
      <c r="A50" s="150"/>
      <c r="B50" s="153"/>
      <c r="C50" s="154"/>
      <c r="H50" s="325">
        <v>43951</v>
      </c>
      <c r="I50" s="350" t="s">
        <v>187</v>
      </c>
      <c r="J50" s="350"/>
      <c r="K50" s="350"/>
      <c r="L50" s="350"/>
      <c r="M50" s="350"/>
      <c r="N50" s="52"/>
      <c r="O50" s="52">
        <f>+N49</f>
        <v>414151.16877833009</v>
      </c>
      <c r="Q50" s="331"/>
      <c r="R50" s="388"/>
      <c r="S50" s="388"/>
      <c r="T50" s="388"/>
      <c r="U50" s="388"/>
      <c r="V50" s="388"/>
      <c r="W50" s="328"/>
      <c r="X50" s="328"/>
    </row>
    <row r="51" spans="1:24" ht="16.5" thickBot="1" x14ac:dyDescent="0.3">
      <c r="A51" s="150"/>
      <c r="B51" s="153"/>
      <c r="C51" s="154"/>
      <c r="H51" s="275" t="s">
        <v>216</v>
      </c>
      <c r="I51" s="282">
        <f>+'X.4. Valoración feb y mar'!R51+'X.6. Valoración abril'!N49-'X.6. Valoración abril'!O45</f>
        <v>70380314.301184744</v>
      </c>
      <c r="J51" s="272"/>
      <c r="K51" s="272"/>
      <c r="L51" s="272"/>
      <c r="M51" s="272"/>
      <c r="N51" s="273"/>
      <c r="O51" s="273"/>
      <c r="Q51" s="275"/>
      <c r="R51" s="333"/>
      <c r="S51" s="327"/>
      <c r="T51" s="327"/>
      <c r="U51" s="327"/>
      <c r="V51" s="327"/>
      <c r="W51" s="328"/>
      <c r="X51" s="328"/>
    </row>
    <row r="52" spans="1:24" ht="16.5" thickBot="1" x14ac:dyDescent="0.3">
      <c r="B52" s="153"/>
      <c r="C52" s="154"/>
      <c r="Q52" s="173"/>
      <c r="R52" s="173"/>
      <c r="S52" s="173"/>
      <c r="T52" s="173"/>
      <c r="U52" s="173"/>
      <c r="V52" s="173"/>
      <c r="W52" s="173"/>
      <c r="X52" s="173"/>
    </row>
    <row r="53" spans="1:24" ht="16.5" thickBot="1" x14ac:dyDescent="0.3">
      <c r="H53" s="362" t="s">
        <v>111</v>
      </c>
      <c r="I53" s="363"/>
      <c r="J53" s="363"/>
      <c r="K53" s="364"/>
      <c r="L53" s="247"/>
      <c r="M53" s="247"/>
      <c r="N53" s="247"/>
      <c r="O53" s="247"/>
      <c r="P53" s="247"/>
      <c r="Q53" s="173"/>
      <c r="R53" s="173"/>
      <c r="S53" s="173"/>
      <c r="T53" s="173"/>
      <c r="U53" s="173"/>
      <c r="V53" s="173"/>
      <c r="W53" s="173"/>
      <c r="X53" s="173"/>
    </row>
    <row r="54" spans="1:24" x14ac:dyDescent="0.25">
      <c r="B54" s="4" t="s">
        <v>111</v>
      </c>
      <c r="H54" s="237"/>
      <c r="I54" s="174"/>
      <c r="J54" s="174"/>
      <c r="K54" s="175"/>
      <c r="L54" s="173"/>
      <c r="M54" s="174"/>
      <c r="N54" s="174"/>
      <c r="O54" s="174"/>
      <c r="P54" s="174"/>
      <c r="Q54" s="173"/>
      <c r="R54" s="173"/>
      <c r="S54" s="173"/>
      <c r="T54" s="173"/>
      <c r="U54" s="173"/>
      <c r="V54" s="173"/>
      <c r="W54" s="173"/>
      <c r="X54" s="173"/>
    </row>
    <row r="55" spans="1:24" ht="15.75" x14ac:dyDescent="0.25">
      <c r="B55" s="246" t="s">
        <v>60</v>
      </c>
      <c r="C55" s="3"/>
      <c r="D55" s="3"/>
      <c r="E55" s="3"/>
      <c r="F55" s="3"/>
      <c r="G55" s="3"/>
      <c r="H55" s="365" t="s">
        <v>198</v>
      </c>
      <c r="I55" s="366"/>
      <c r="J55" s="366"/>
      <c r="K55" s="367"/>
      <c r="L55" s="166"/>
      <c r="M55" s="389"/>
      <c r="N55" s="389"/>
      <c r="O55" s="389"/>
      <c r="P55" s="389"/>
      <c r="Q55" s="148"/>
    </row>
    <row r="56" spans="1:24" ht="15.75" customHeight="1" x14ac:dyDescent="0.25">
      <c r="B56" s="95" t="s">
        <v>22</v>
      </c>
      <c r="C56" s="3"/>
      <c r="D56" s="114">
        <f>+'X.2. Tabla de capitalización'!D14</f>
        <v>104168144.39999999</v>
      </c>
      <c r="E56" s="3"/>
      <c r="G56" s="3"/>
      <c r="H56" s="176" t="s">
        <v>62</v>
      </c>
      <c r="I56" s="107" t="s">
        <v>63</v>
      </c>
      <c r="J56" s="107" t="s">
        <v>64</v>
      </c>
      <c r="K56" s="177" t="s">
        <v>65</v>
      </c>
      <c r="L56" s="166"/>
      <c r="M56" s="203"/>
      <c r="N56" s="203"/>
      <c r="O56" s="203"/>
      <c r="P56" s="203"/>
    </row>
    <row r="57" spans="1:24" ht="15.75" hidden="1" x14ac:dyDescent="0.25">
      <c r="B57" s="97" t="s">
        <v>66</v>
      </c>
      <c r="C57" s="3"/>
      <c r="D57" s="194">
        <f>+'X.3. Bonos'!B6</f>
        <v>5.6000000000000001E-2</v>
      </c>
      <c r="E57" s="190" t="s">
        <v>104</v>
      </c>
      <c r="G57" s="3"/>
      <c r="H57" s="238">
        <v>43465</v>
      </c>
      <c r="I57" s="120">
        <f>-D56</f>
        <v>-104168144.39999999</v>
      </c>
      <c r="J57" s="119"/>
      <c r="K57" s="239"/>
      <c r="L57" s="173"/>
      <c r="M57" s="283"/>
      <c r="N57" s="284"/>
      <c r="O57" s="174"/>
      <c r="P57" s="174"/>
    </row>
    <row r="58" spans="1:24" ht="15.75" hidden="1" x14ac:dyDescent="0.25">
      <c r="B58" s="97"/>
      <c r="C58" s="3"/>
      <c r="D58" s="189">
        <f>+((1+D57)^(1/12))-1</f>
        <v>4.5510066248739545E-3</v>
      </c>
      <c r="E58" s="190" t="s">
        <v>107</v>
      </c>
      <c r="F58" s="188"/>
      <c r="G58" s="3"/>
      <c r="H58" s="178">
        <v>43496</v>
      </c>
      <c r="I58" s="110">
        <f t="shared" ref="I58:I116" si="2">+$D$56*$D$58</f>
        <v>474069.91526522668</v>
      </c>
      <c r="J58" s="119"/>
      <c r="K58" s="239"/>
      <c r="L58" s="173"/>
      <c r="M58" s="285"/>
      <c r="N58" s="286"/>
      <c r="O58" s="174"/>
      <c r="P58" s="174"/>
    </row>
    <row r="59" spans="1:24" ht="15.75" hidden="1" x14ac:dyDescent="0.25">
      <c r="B59" s="97" t="s">
        <v>68</v>
      </c>
      <c r="C59" s="3"/>
      <c r="D59" s="115" t="s">
        <v>105</v>
      </c>
      <c r="E59" s="3"/>
      <c r="F59" s="188"/>
      <c r="G59" s="3"/>
      <c r="H59" s="178">
        <v>43524</v>
      </c>
      <c r="I59" s="110">
        <f t="shared" si="2"/>
        <v>474069.91526522668</v>
      </c>
      <c r="J59" s="119"/>
      <c r="K59" s="239"/>
      <c r="L59" s="173"/>
      <c r="M59" s="285"/>
      <c r="N59" s="286"/>
      <c r="O59" s="174"/>
      <c r="P59" s="174"/>
    </row>
    <row r="60" spans="1:24" ht="15.75" hidden="1" x14ac:dyDescent="0.25">
      <c r="B60" s="97" t="s">
        <v>70</v>
      </c>
      <c r="C60" s="3"/>
      <c r="D60" s="116">
        <v>43465</v>
      </c>
      <c r="E60" s="3"/>
      <c r="F60" s="3"/>
      <c r="G60" s="3"/>
      <c r="H60" s="238">
        <v>43555</v>
      </c>
      <c r="I60" s="110">
        <f t="shared" si="2"/>
        <v>474069.91526522668</v>
      </c>
      <c r="J60" s="119"/>
      <c r="K60" s="239"/>
      <c r="L60" s="173"/>
      <c r="M60" s="283"/>
      <c r="N60" s="286"/>
      <c r="O60" s="174"/>
      <c r="P60" s="174"/>
    </row>
    <row r="61" spans="1:24" ht="15.75" hidden="1" x14ac:dyDescent="0.25">
      <c r="B61" s="97" t="s">
        <v>72</v>
      </c>
      <c r="C61" s="3"/>
      <c r="D61" s="116">
        <v>45291</v>
      </c>
      <c r="E61" s="3"/>
      <c r="F61" s="3"/>
      <c r="G61" s="3"/>
      <c r="H61" s="178">
        <v>43585</v>
      </c>
      <c r="I61" s="110">
        <f t="shared" si="2"/>
        <v>474069.91526522668</v>
      </c>
      <c r="J61" s="119"/>
      <c r="K61" s="239"/>
      <c r="L61" s="173"/>
      <c r="M61" s="285"/>
      <c r="N61" s="286"/>
      <c r="O61" s="174"/>
      <c r="P61" s="174"/>
    </row>
    <row r="62" spans="1:24" ht="15.75" hidden="1" x14ac:dyDescent="0.25">
      <c r="B62" s="97" t="s">
        <v>74</v>
      </c>
      <c r="C62" s="3"/>
      <c r="D62" s="117">
        <v>1</v>
      </c>
      <c r="E62" s="3"/>
      <c r="F62" s="3"/>
      <c r="G62" s="3"/>
      <c r="H62" s="178">
        <v>43616</v>
      </c>
      <c r="I62" s="110">
        <f t="shared" si="2"/>
        <v>474069.91526522668</v>
      </c>
      <c r="J62" s="119"/>
      <c r="K62" s="239"/>
      <c r="L62" s="173"/>
      <c r="M62" s="285"/>
      <c r="N62" s="286"/>
      <c r="O62" s="174"/>
      <c r="P62" s="174"/>
    </row>
    <row r="63" spans="1:24" ht="15.75" hidden="1" x14ac:dyDescent="0.25">
      <c r="B63" s="97" t="s">
        <v>75</v>
      </c>
      <c r="C63" s="3"/>
      <c r="D63" s="116">
        <v>43511</v>
      </c>
      <c r="E63" s="3"/>
      <c r="F63" s="3"/>
      <c r="G63" s="3"/>
      <c r="H63" s="238">
        <v>43646</v>
      </c>
      <c r="I63" s="110">
        <f t="shared" si="2"/>
        <v>474069.91526522668</v>
      </c>
      <c r="J63" s="119"/>
      <c r="K63" s="239"/>
      <c r="L63" s="173"/>
      <c r="M63" s="283"/>
      <c r="N63" s="286"/>
      <c r="O63" s="174"/>
      <c r="P63" s="174"/>
    </row>
    <row r="64" spans="1:24" ht="15.75" hidden="1" x14ac:dyDescent="0.25">
      <c r="B64" s="97" t="s">
        <v>79</v>
      </c>
      <c r="D64" s="189">
        <f>+((1+C67)^(1/12))-1</f>
        <v>4.5942889996275493E-3</v>
      </c>
      <c r="E64" s="118"/>
      <c r="F64" s="3"/>
      <c r="G64" s="3"/>
      <c r="H64" s="178">
        <v>43677</v>
      </c>
      <c r="I64" s="110">
        <f t="shared" si="2"/>
        <v>474069.91526522668</v>
      </c>
      <c r="J64" s="119"/>
      <c r="K64" s="239"/>
      <c r="L64" s="173"/>
      <c r="M64" s="285"/>
      <c r="N64" s="286"/>
      <c r="O64" s="174"/>
      <c r="P64" s="174"/>
    </row>
    <row r="65" spans="2:22" ht="15.75" hidden="1" x14ac:dyDescent="0.25">
      <c r="B65" s="3"/>
      <c r="C65" s="3"/>
      <c r="D65" s="189"/>
      <c r="E65" s="3"/>
      <c r="F65" s="3"/>
      <c r="G65" s="3"/>
      <c r="H65" s="178">
        <v>43708</v>
      </c>
      <c r="I65" s="110">
        <f t="shared" si="2"/>
        <v>474069.91526522668</v>
      </c>
      <c r="J65" s="119"/>
      <c r="K65" s="239"/>
      <c r="L65" s="173"/>
      <c r="M65" s="285"/>
      <c r="N65" s="286"/>
      <c r="O65" s="174"/>
      <c r="P65" s="174"/>
    </row>
    <row r="66" spans="2:22" ht="15.75" hidden="1" x14ac:dyDescent="0.25">
      <c r="B66" s="3"/>
      <c r="C66" s="3"/>
      <c r="D66" s="3"/>
      <c r="E66" s="3"/>
      <c r="F66" s="3"/>
      <c r="G66" s="3"/>
      <c r="H66" s="238">
        <v>43738</v>
      </c>
      <c r="I66" s="110">
        <f t="shared" si="2"/>
        <v>474069.91526522668</v>
      </c>
      <c r="J66" s="119"/>
      <c r="K66" s="239"/>
      <c r="L66" s="173"/>
      <c r="M66" s="283"/>
      <c r="N66" s="286"/>
      <c r="O66" s="174"/>
      <c r="P66" s="174"/>
    </row>
    <row r="67" spans="2:22" ht="15.75" hidden="1" x14ac:dyDescent="0.25">
      <c r="B67" s="1" t="s">
        <v>201</v>
      </c>
      <c r="C67" s="193">
        <f>+XIRR(C69:C128,B69:B128)</f>
        <v>5.6546118855476377E-2</v>
      </c>
      <c r="H67" s="178">
        <v>43769</v>
      </c>
      <c r="I67" s="110">
        <f t="shared" si="2"/>
        <v>474069.91526522668</v>
      </c>
      <c r="J67" s="119"/>
      <c r="K67" s="239"/>
      <c r="L67" s="173"/>
      <c r="M67" s="285"/>
      <c r="N67" s="286"/>
      <c r="O67" s="174"/>
      <c r="P67" s="174"/>
    </row>
    <row r="68" spans="2:22" ht="15.75" hidden="1" x14ac:dyDescent="0.25">
      <c r="H68" s="178">
        <v>43799</v>
      </c>
      <c r="I68" s="146">
        <f t="shared" si="2"/>
        <v>474069.91526522668</v>
      </c>
      <c r="J68" s="192"/>
      <c r="K68" s="240"/>
      <c r="L68" s="173"/>
      <c r="M68" s="285"/>
      <c r="N68" s="287"/>
      <c r="O68" s="173"/>
      <c r="P68" s="173"/>
      <c r="Q68" s="150"/>
      <c r="R68" s="150"/>
      <c r="S68" s="150"/>
      <c r="T68" s="150"/>
      <c r="U68" s="150"/>
      <c r="V68" s="150"/>
    </row>
    <row r="69" spans="2:22" ht="18" hidden="1" x14ac:dyDescent="0.25">
      <c r="B69" s="101">
        <v>43511</v>
      </c>
      <c r="C69" s="102">
        <f>-D56</f>
        <v>-104168144.39999999</v>
      </c>
      <c r="D69" s="1" t="s">
        <v>75</v>
      </c>
      <c r="H69" s="238">
        <v>43830</v>
      </c>
      <c r="I69" s="146">
        <f t="shared" si="2"/>
        <v>474069.91526522668</v>
      </c>
      <c r="J69" s="170"/>
      <c r="K69" s="241"/>
      <c r="L69" s="173"/>
      <c r="M69" s="283"/>
      <c r="N69" s="287"/>
      <c r="O69" s="288"/>
      <c r="P69" s="289"/>
      <c r="Q69" s="197"/>
      <c r="R69" s="198"/>
      <c r="S69" s="150"/>
      <c r="T69" s="150"/>
      <c r="U69" s="150"/>
      <c r="V69" s="150"/>
    </row>
    <row r="70" spans="2:22" ht="15.75" hidden="1" x14ac:dyDescent="0.25">
      <c r="B70" s="106">
        <v>43524</v>
      </c>
      <c r="C70" s="110">
        <f t="shared" ref="C70:C127" si="3">+$D$56*$D$58</f>
        <v>474069.91526522668</v>
      </c>
      <c r="H70" s="178">
        <v>43861</v>
      </c>
      <c r="I70" s="146">
        <f t="shared" si="2"/>
        <v>474069.91526522668</v>
      </c>
      <c r="J70" s="170"/>
      <c r="K70" s="241"/>
      <c r="L70" s="173"/>
      <c r="M70" s="285"/>
      <c r="N70" s="287"/>
      <c r="O70" s="288"/>
      <c r="P70" s="289"/>
      <c r="Q70" s="171"/>
      <c r="R70" s="150"/>
      <c r="S70" s="150"/>
      <c r="T70" s="150"/>
      <c r="U70" s="150"/>
      <c r="V70" s="150"/>
    </row>
    <row r="71" spans="2:22" ht="15.75" hidden="1" x14ac:dyDescent="0.25">
      <c r="B71" s="121">
        <v>43555</v>
      </c>
      <c r="C71" s="110">
        <f t="shared" si="3"/>
        <v>474069.91526522668</v>
      </c>
      <c r="H71" s="178">
        <v>43890</v>
      </c>
      <c r="I71" s="110">
        <f t="shared" si="2"/>
        <v>474069.91526522668</v>
      </c>
      <c r="J71" s="170"/>
      <c r="K71" s="241"/>
      <c r="L71" s="173"/>
      <c r="M71" s="235"/>
      <c r="N71" s="287"/>
      <c r="O71" s="288"/>
      <c r="P71" s="289"/>
      <c r="Q71" s="171"/>
      <c r="R71" s="150"/>
      <c r="S71" s="150"/>
      <c r="T71" s="150"/>
      <c r="U71" s="150"/>
      <c r="V71" s="150"/>
    </row>
    <row r="72" spans="2:22" ht="18" x14ac:dyDescent="0.25">
      <c r="B72" s="106">
        <v>43585</v>
      </c>
      <c r="C72" s="110">
        <f t="shared" si="3"/>
        <v>474069.91526522668</v>
      </c>
      <c r="F72" s="155"/>
      <c r="H72" s="238">
        <v>43921</v>
      </c>
      <c r="I72" s="146">
        <f t="shared" si="2"/>
        <v>474069.91526522668</v>
      </c>
      <c r="J72" s="170"/>
      <c r="K72" s="241"/>
      <c r="L72" s="173"/>
      <c r="M72" s="291"/>
      <c r="N72" s="287"/>
      <c r="O72" s="292"/>
      <c r="P72" s="205"/>
      <c r="Q72" s="150"/>
      <c r="R72" s="150"/>
      <c r="S72" s="150"/>
      <c r="T72" s="150"/>
      <c r="U72" s="150"/>
      <c r="V72" s="150"/>
    </row>
    <row r="73" spans="2:22" ht="18" x14ac:dyDescent="0.25">
      <c r="B73" s="106">
        <v>43616</v>
      </c>
      <c r="C73" s="110">
        <f t="shared" si="3"/>
        <v>474069.91526522668</v>
      </c>
      <c r="F73" s="155"/>
      <c r="H73" s="180">
        <v>43951</v>
      </c>
      <c r="I73" s="146">
        <f t="shared" si="2"/>
        <v>474069.91526522668</v>
      </c>
      <c r="J73" s="157"/>
      <c r="K73" s="242"/>
      <c r="L73" s="173"/>
      <c r="M73" s="235"/>
      <c r="N73" s="287"/>
      <c r="O73" s="288"/>
      <c r="P73" s="289"/>
    </row>
    <row r="74" spans="2:22" ht="15.75" x14ac:dyDescent="0.25">
      <c r="B74" s="121">
        <v>43646</v>
      </c>
      <c r="C74" s="110">
        <f t="shared" si="3"/>
        <v>474069.91526522668</v>
      </c>
      <c r="F74" s="155"/>
      <c r="H74" s="178">
        <v>43982</v>
      </c>
      <c r="I74" s="110">
        <f t="shared" si="2"/>
        <v>474069.91526522668</v>
      </c>
      <c r="J74" s="170">
        <v>1</v>
      </c>
      <c r="K74" s="241">
        <f t="shared" ref="K74:K117" si="4">+I74/(1+$D$64)^J74</f>
        <v>471901.86173296318</v>
      </c>
      <c r="L74" s="173"/>
      <c r="M74" s="235"/>
      <c r="N74" s="287"/>
      <c r="O74" s="288"/>
      <c r="P74" s="289"/>
    </row>
    <row r="75" spans="2:22" ht="15.75" x14ac:dyDescent="0.25">
      <c r="B75" s="106">
        <v>43677</v>
      </c>
      <c r="C75" s="110">
        <f t="shared" si="3"/>
        <v>474069.91526522668</v>
      </c>
      <c r="H75" s="238">
        <v>44012</v>
      </c>
      <c r="I75" s="110">
        <f t="shared" si="2"/>
        <v>474069.91526522668</v>
      </c>
      <c r="J75" s="170">
        <v>2</v>
      </c>
      <c r="K75" s="241">
        <f t="shared" si="4"/>
        <v>469743.7233123054</v>
      </c>
      <c r="L75" s="173"/>
      <c r="M75" s="283"/>
      <c r="N75" s="286"/>
      <c r="O75" s="288"/>
      <c r="P75" s="290"/>
    </row>
    <row r="76" spans="2:22" ht="15.75" x14ac:dyDescent="0.25">
      <c r="B76" s="106">
        <v>43708</v>
      </c>
      <c r="C76" s="110">
        <f t="shared" si="3"/>
        <v>474069.91526522668</v>
      </c>
      <c r="H76" s="178">
        <v>44043</v>
      </c>
      <c r="I76" s="110">
        <f t="shared" si="2"/>
        <v>474069.91526522668</v>
      </c>
      <c r="J76" s="170">
        <v>3</v>
      </c>
      <c r="K76" s="241">
        <f t="shared" si="4"/>
        <v>467595.45465869107</v>
      </c>
      <c r="L76" s="173"/>
      <c r="M76" s="285"/>
      <c r="N76" s="286"/>
      <c r="O76" s="288"/>
      <c r="P76" s="290"/>
    </row>
    <row r="77" spans="2:22" ht="15.75" x14ac:dyDescent="0.25">
      <c r="B77" s="121">
        <v>43738</v>
      </c>
      <c r="C77" s="110">
        <f t="shared" si="3"/>
        <v>474069.91526522668</v>
      </c>
      <c r="H77" s="178">
        <v>44074</v>
      </c>
      <c r="I77" s="110">
        <f t="shared" si="2"/>
        <v>474069.91526522668</v>
      </c>
      <c r="J77" s="170">
        <v>4</v>
      </c>
      <c r="K77" s="241">
        <f t="shared" si="4"/>
        <v>465457.01063493156</v>
      </c>
      <c r="L77" s="173"/>
      <c r="M77" s="285"/>
      <c r="N77" s="286"/>
      <c r="O77" s="288"/>
      <c r="P77" s="290"/>
    </row>
    <row r="78" spans="2:22" ht="15.75" x14ac:dyDescent="0.25">
      <c r="B78" s="106">
        <v>43769</v>
      </c>
      <c r="C78" s="110">
        <f t="shared" si="3"/>
        <v>474069.91526522668</v>
      </c>
      <c r="H78" s="238">
        <v>44104</v>
      </c>
      <c r="I78" s="110">
        <f t="shared" si="2"/>
        <v>474069.91526522668</v>
      </c>
      <c r="J78" s="170">
        <v>5</v>
      </c>
      <c r="K78" s="241">
        <f t="shared" si="4"/>
        <v>463328.34631026268</v>
      </c>
      <c r="L78" s="173"/>
      <c r="M78" s="283"/>
      <c r="N78" s="286"/>
      <c r="O78" s="288"/>
      <c r="P78" s="290"/>
    </row>
    <row r="79" spans="2:22" ht="15.75" x14ac:dyDescent="0.25">
      <c r="B79" s="106">
        <v>43799</v>
      </c>
      <c r="C79" s="110">
        <f t="shared" si="3"/>
        <v>474069.91526522668</v>
      </c>
      <c r="H79" s="178">
        <v>44135</v>
      </c>
      <c r="I79" s="110">
        <f t="shared" si="2"/>
        <v>474069.91526522668</v>
      </c>
      <c r="J79" s="170">
        <v>6</v>
      </c>
      <c r="K79" s="241">
        <f t="shared" si="4"/>
        <v>461209.41695940151</v>
      </c>
      <c r="L79" s="173"/>
      <c r="M79" s="285"/>
      <c r="N79" s="286"/>
      <c r="O79" s="288"/>
      <c r="P79" s="290"/>
    </row>
    <row r="80" spans="2:22" ht="15.75" x14ac:dyDescent="0.25">
      <c r="B80" s="121">
        <v>43830</v>
      </c>
      <c r="C80" s="110">
        <f t="shared" si="3"/>
        <v>474069.91526522668</v>
      </c>
      <c r="H80" s="238">
        <v>44165</v>
      </c>
      <c r="I80" s="110">
        <f t="shared" si="2"/>
        <v>474069.91526522668</v>
      </c>
      <c r="J80" s="170">
        <v>7</v>
      </c>
      <c r="K80" s="241">
        <f t="shared" si="4"/>
        <v>459100.17806160601</v>
      </c>
      <c r="L80" s="173"/>
      <c r="M80" s="283"/>
      <c r="N80" s="286"/>
      <c r="O80" s="288"/>
      <c r="P80" s="290"/>
    </row>
    <row r="81" spans="2:24" ht="15.75" x14ac:dyDescent="0.25">
      <c r="B81" s="106">
        <v>43861</v>
      </c>
      <c r="C81" s="110">
        <f t="shared" si="3"/>
        <v>474069.91526522668</v>
      </c>
      <c r="H81" s="178">
        <v>44196</v>
      </c>
      <c r="I81" s="110">
        <f t="shared" si="2"/>
        <v>474069.91526522668</v>
      </c>
      <c r="J81" s="170">
        <v>8</v>
      </c>
      <c r="K81" s="241">
        <f t="shared" si="4"/>
        <v>457000.5852997402</v>
      </c>
      <c r="L81" s="173"/>
      <c r="M81" s="285"/>
      <c r="N81" s="286"/>
      <c r="O81" s="288"/>
      <c r="P81" s="290"/>
    </row>
    <row r="82" spans="2:24" ht="15.75" x14ac:dyDescent="0.25">
      <c r="B82" s="106">
        <v>43890</v>
      </c>
      <c r="C82" s="110">
        <f t="shared" si="3"/>
        <v>474069.91526522668</v>
      </c>
      <c r="H82" s="178">
        <v>44227</v>
      </c>
      <c r="I82" s="110">
        <f t="shared" si="2"/>
        <v>474069.91526522668</v>
      </c>
      <c r="J82" s="170">
        <v>9</v>
      </c>
      <c r="K82" s="241">
        <f t="shared" si="4"/>
        <v>454910.59455934213</v>
      </c>
      <c r="L82" s="173"/>
      <c r="M82" s="285"/>
      <c r="N82" s="286"/>
      <c r="O82" s="288"/>
      <c r="P82" s="290"/>
    </row>
    <row r="83" spans="2:24" ht="15.75" x14ac:dyDescent="0.25">
      <c r="B83" s="121">
        <v>43921</v>
      </c>
      <c r="C83" s="110">
        <f t="shared" si="3"/>
        <v>474069.91526522668</v>
      </c>
      <c r="H83" s="238">
        <v>44255</v>
      </c>
      <c r="I83" s="110">
        <f t="shared" si="2"/>
        <v>474069.91526522668</v>
      </c>
      <c r="J83" s="170">
        <v>10</v>
      </c>
      <c r="K83" s="241">
        <f t="shared" si="4"/>
        <v>452830.16192769824</v>
      </c>
      <c r="L83" s="173"/>
      <c r="M83" s="283"/>
      <c r="N83" s="286"/>
      <c r="O83" s="288"/>
      <c r="P83" s="290"/>
    </row>
    <row r="84" spans="2:24" ht="15.75" x14ac:dyDescent="0.25">
      <c r="B84" s="106">
        <v>43951</v>
      </c>
      <c r="C84" s="110">
        <f t="shared" si="3"/>
        <v>474069.91526522668</v>
      </c>
      <c r="H84" s="178">
        <v>44286</v>
      </c>
      <c r="I84" s="110">
        <f t="shared" si="2"/>
        <v>474069.91526522668</v>
      </c>
      <c r="J84" s="170">
        <v>11</v>
      </c>
      <c r="K84" s="241">
        <f t="shared" si="4"/>
        <v>450759.24369291938</v>
      </c>
      <c r="L84" s="173"/>
      <c r="M84" s="285"/>
      <c r="N84" s="286"/>
      <c r="O84" s="288"/>
      <c r="P84" s="290"/>
    </row>
    <row r="85" spans="2:24" ht="15.75" x14ac:dyDescent="0.25">
      <c r="B85" s="106">
        <v>43982</v>
      </c>
      <c r="C85" s="110">
        <f t="shared" si="3"/>
        <v>474069.91526522668</v>
      </c>
      <c r="H85" s="178">
        <v>44316</v>
      </c>
      <c r="I85" s="110">
        <f t="shared" si="2"/>
        <v>474069.91526522668</v>
      </c>
      <c r="J85" s="170">
        <v>12</v>
      </c>
      <c r="K85" s="241">
        <f t="shared" si="4"/>
        <v>448697.79634302354</v>
      </c>
      <c r="L85" s="173"/>
      <c r="M85" s="285"/>
      <c r="N85" s="286"/>
      <c r="O85" s="288"/>
      <c r="P85" s="290"/>
    </row>
    <row r="86" spans="2:24" ht="15.75" x14ac:dyDescent="0.25">
      <c r="B86" s="121">
        <v>44012</v>
      </c>
      <c r="C86" s="110">
        <f t="shared" si="3"/>
        <v>474069.91526522668</v>
      </c>
      <c r="H86" s="238">
        <v>44347</v>
      </c>
      <c r="I86" s="110">
        <f t="shared" si="2"/>
        <v>474069.91526522668</v>
      </c>
      <c r="J86" s="170">
        <v>13</v>
      </c>
      <c r="K86" s="241">
        <f t="shared" si="4"/>
        <v>446645.77656502085</v>
      </c>
      <c r="L86" s="173"/>
      <c r="M86" s="283"/>
      <c r="N86" s="286"/>
      <c r="O86" s="288"/>
      <c r="P86" s="290"/>
    </row>
    <row r="87" spans="2:24" ht="15.75" x14ac:dyDescent="0.25">
      <c r="B87" s="106">
        <v>44043</v>
      </c>
      <c r="C87" s="110">
        <f t="shared" si="3"/>
        <v>474069.91526522668</v>
      </c>
      <c r="H87" s="178">
        <v>44377</v>
      </c>
      <c r="I87" s="110">
        <f t="shared" si="2"/>
        <v>474069.91526522668</v>
      </c>
      <c r="J87" s="170">
        <v>14</v>
      </c>
      <c r="K87" s="241">
        <f t="shared" si="4"/>
        <v>444603.14124400361</v>
      </c>
      <c r="L87" s="173"/>
      <c r="M87" s="285"/>
      <c r="N87" s="286"/>
      <c r="O87" s="288"/>
      <c r="P87" s="290"/>
    </row>
    <row r="88" spans="2:24" ht="15.75" x14ac:dyDescent="0.25">
      <c r="B88" s="106">
        <v>44074</v>
      </c>
      <c r="C88" s="110">
        <f t="shared" si="3"/>
        <v>474069.91526522668</v>
      </c>
      <c r="H88" s="178">
        <v>44408</v>
      </c>
      <c r="I88" s="110">
        <f t="shared" si="2"/>
        <v>474069.91526522668</v>
      </c>
      <c r="J88" s="170">
        <v>15</v>
      </c>
      <c r="K88" s="241">
        <f t="shared" si="4"/>
        <v>442569.84746224101</v>
      </c>
      <c r="L88" s="173"/>
      <c r="M88" s="285"/>
      <c r="N88" s="286"/>
      <c r="O88" s="288"/>
      <c r="P88" s="290"/>
    </row>
    <row r="89" spans="2:24" ht="15.75" x14ac:dyDescent="0.25">
      <c r="B89" s="121">
        <v>44104</v>
      </c>
      <c r="C89" s="110">
        <f t="shared" si="3"/>
        <v>474069.91526522668</v>
      </c>
      <c r="H89" s="238">
        <v>44439</v>
      </c>
      <c r="I89" s="110">
        <f t="shared" si="2"/>
        <v>474069.91526522668</v>
      </c>
      <c r="J89" s="170">
        <v>16</v>
      </c>
      <c r="K89" s="241">
        <f t="shared" si="4"/>
        <v>440545.85249827674</v>
      </c>
      <c r="L89" s="173"/>
      <c r="M89" s="283"/>
      <c r="N89" s="286"/>
      <c r="O89" s="288"/>
      <c r="P89" s="290"/>
    </row>
    <row r="90" spans="2:24" ht="15.75" x14ac:dyDescent="0.25">
      <c r="B90" s="106">
        <v>44135</v>
      </c>
      <c r="C90" s="110">
        <f t="shared" si="3"/>
        <v>474069.91526522668</v>
      </c>
      <c r="H90" s="178">
        <v>44469</v>
      </c>
      <c r="I90" s="110">
        <f t="shared" si="2"/>
        <v>474069.91526522668</v>
      </c>
      <c r="J90" s="170">
        <v>17</v>
      </c>
      <c r="K90" s="241">
        <f t="shared" si="4"/>
        <v>438531.11382603139</v>
      </c>
      <c r="L90" s="173"/>
      <c r="M90" s="285"/>
      <c r="N90" s="286"/>
      <c r="O90" s="288"/>
      <c r="P90" s="290"/>
    </row>
    <row r="91" spans="2:24" ht="15.75" x14ac:dyDescent="0.25">
      <c r="B91" s="121">
        <v>44165</v>
      </c>
      <c r="C91" s="110">
        <f t="shared" si="3"/>
        <v>474069.91526522668</v>
      </c>
      <c r="H91" s="178">
        <v>44500</v>
      </c>
      <c r="I91" s="110">
        <f t="shared" si="2"/>
        <v>474069.91526522668</v>
      </c>
      <c r="J91" s="170">
        <v>18</v>
      </c>
      <c r="K91" s="241">
        <f t="shared" si="4"/>
        <v>436525.58911390946</v>
      </c>
      <c r="L91" s="173"/>
      <c r="M91" s="285"/>
      <c r="N91" s="286"/>
      <c r="O91" s="288"/>
      <c r="P91" s="290"/>
    </row>
    <row r="92" spans="2:24" ht="15.75" x14ac:dyDescent="0.25">
      <c r="B92" s="106">
        <v>44196</v>
      </c>
      <c r="C92" s="110">
        <f t="shared" si="3"/>
        <v>474069.91526522668</v>
      </c>
      <c r="H92" s="238">
        <v>44530</v>
      </c>
      <c r="I92" s="110">
        <f t="shared" si="2"/>
        <v>474069.91526522668</v>
      </c>
      <c r="J92" s="170">
        <v>19</v>
      </c>
      <c r="K92" s="241">
        <f t="shared" si="4"/>
        <v>434529.23622390936</v>
      </c>
      <c r="L92" s="173"/>
      <c r="M92" s="283"/>
      <c r="N92" s="286"/>
      <c r="O92" s="288"/>
      <c r="P92" s="290"/>
    </row>
    <row r="93" spans="2:24" ht="15.75" x14ac:dyDescent="0.25">
      <c r="B93" s="106">
        <v>44227</v>
      </c>
      <c r="C93" s="110">
        <f t="shared" si="3"/>
        <v>474069.91526522668</v>
      </c>
      <c r="H93" s="178">
        <v>44561</v>
      </c>
      <c r="I93" s="110">
        <f t="shared" si="2"/>
        <v>474069.91526522668</v>
      </c>
      <c r="J93" s="170">
        <v>20</v>
      </c>
      <c r="K93" s="241">
        <f t="shared" si="4"/>
        <v>432542.0132107386</v>
      </c>
      <c r="L93" s="173"/>
      <c r="M93" s="285"/>
      <c r="N93" s="286"/>
      <c r="O93" s="288"/>
      <c r="P93" s="290"/>
    </row>
    <row r="94" spans="2:24" ht="15.75" x14ac:dyDescent="0.25">
      <c r="B94" s="121">
        <v>44255</v>
      </c>
      <c r="C94" s="110">
        <f t="shared" si="3"/>
        <v>474069.91526522668</v>
      </c>
      <c r="H94" s="238">
        <v>44592</v>
      </c>
      <c r="I94" s="110">
        <f t="shared" si="2"/>
        <v>474069.91526522668</v>
      </c>
      <c r="J94" s="170">
        <v>21</v>
      </c>
      <c r="K94" s="241">
        <f t="shared" si="4"/>
        <v>430563.87832093175</v>
      </c>
      <c r="L94" s="173"/>
      <c r="M94" s="283"/>
      <c r="N94" s="286"/>
      <c r="O94" s="288"/>
      <c r="P94" s="290"/>
    </row>
    <row r="95" spans="2:24" ht="15.75" x14ac:dyDescent="0.25">
      <c r="B95" s="106">
        <v>44286</v>
      </c>
      <c r="C95" s="110">
        <f t="shared" si="3"/>
        <v>474069.91526522668</v>
      </c>
      <c r="H95" s="178">
        <v>44620</v>
      </c>
      <c r="I95" s="110">
        <f t="shared" si="2"/>
        <v>474069.91526522668</v>
      </c>
      <c r="J95" s="170">
        <v>22</v>
      </c>
      <c r="K95" s="241">
        <f t="shared" si="4"/>
        <v>428594.78999197396</v>
      </c>
      <c r="L95" s="173"/>
      <c r="M95" s="285"/>
      <c r="N95" s="286"/>
      <c r="O95" s="288"/>
      <c r="P95" s="290"/>
      <c r="Q95" s="150"/>
      <c r="R95" s="150"/>
      <c r="S95" s="150"/>
      <c r="T95" s="150"/>
      <c r="U95" s="150"/>
      <c r="V95" s="150"/>
      <c r="W95" s="150"/>
      <c r="X95" s="150"/>
    </row>
    <row r="96" spans="2:24" ht="15.75" x14ac:dyDescent="0.25">
      <c r="B96" s="106">
        <v>44316</v>
      </c>
      <c r="C96" s="110">
        <f t="shared" si="3"/>
        <v>474069.91526522668</v>
      </c>
      <c r="H96" s="178">
        <v>44651</v>
      </c>
      <c r="I96" s="110">
        <f t="shared" si="2"/>
        <v>474069.91526522668</v>
      </c>
      <c r="J96" s="170">
        <v>23</v>
      </c>
      <c r="K96" s="241">
        <f t="shared" si="4"/>
        <v>426634.70685142715</v>
      </c>
      <c r="L96" s="173"/>
      <c r="M96" s="285"/>
      <c r="N96" s="286"/>
      <c r="O96" s="288"/>
      <c r="P96" s="290"/>
      <c r="Q96" s="150"/>
      <c r="R96" s="150"/>
      <c r="S96" s="150"/>
      <c r="T96" s="150"/>
      <c r="U96" s="150"/>
      <c r="V96" s="150"/>
      <c r="W96" s="150"/>
      <c r="X96" s="150"/>
    </row>
    <row r="97" spans="2:24" ht="15.75" x14ac:dyDescent="0.25">
      <c r="B97" s="121">
        <v>44347</v>
      </c>
      <c r="C97" s="110">
        <f t="shared" si="3"/>
        <v>474069.91526522668</v>
      </c>
      <c r="H97" s="238">
        <v>44681</v>
      </c>
      <c r="I97" s="110">
        <f t="shared" si="2"/>
        <v>474069.91526522668</v>
      </c>
      <c r="J97" s="170">
        <v>24</v>
      </c>
      <c r="K97" s="241">
        <f t="shared" si="4"/>
        <v>424683.58771606092</v>
      </c>
      <c r="L97" s="173"/>
      <c r="M97" s="283"/>
      <c r="N97" s="286"/>
      <c r="O97" s="288"/>
      <c r="P97" s="290"/>
      <c r="Q97" s="150"/>
      <c r="R97" s="150"/>
      <c r="S97" s="150"/>
      <c r="T97" s="150"/>
      <c r="U97" s="150"/>
      <c r="V97" s="150"/>
      <c r="W97" s="150"/>
      <c r="X97" s="150"/>
    </row>
    <row r="98" spans="2:24" ht="15.75" x14ac:dyDescent="0.25">
      <c r="B98" s="106">
        <v>44377</v>
      </c>
      <c r="C98" s="110">
        <f t="shared" si="3"/>
        <v>474069.91526522668</v>
      </c>
      <c r="H98" s="178">
        <v>44712</v>
      </c>
      <c r="I98" s="110">
        <f t="shared" si="2"/>
        <v>474069.91526522668</v>
      </c>
      <c r="J98" s="170">
        <v>25</v>
      </c>
      <c r="K98" s="241">
        <f t="shared" si="4"/>
        <v>422741.39159098722</v>
      </c>
      <c r="L98" s="173"/>
      <c r="M98" s="285"/>
      <c r="N98" s="286"/>
      <c r="O98" s="288"/>
      <c r="P98" s="290"/>
      <c r="Q98" s="150"/>
      <c r="R98" s="150"/>
      <c r="S98" s="150"/>
      <c r="T98" s="150"/>
      <c r="U98" s="150"/>
      <c r="V98" s="150"/>
      <c r="W98" s="150"/>
      <c r="X98" s="150"/>
    </row>
    <row r="99" spans="2:24" ht="15.75" x14ac:dyDescent="0.25">
      <c r="B99" s="106">
        <v>44408</v>
      </c>
      <c r="C99" s="110">
        <f t="shared" si="3"/>
        <v>474069.91526522668</v>
      </c>
      <c r="H99" s="178">
        <v>44742</v>
      </c>
      <c r="I99" s="110">
        <f t="shared" si="2"/>
        <v>474069.91526522668</v>
      </c>
      <c r="J99" s="170">
        <v>26</v>
      </c>
      <c r="K99" s="241">
        <f t="shared" si="4"/>
        <v>420808.07766879909</v>
      </c>
      <c r="L99" s="173"/>
      <c r="M99" s="285"/>
      <c r="N99" s="286"/>
      <c r="O99" s="288"/>
      <c r="P99" s="290"/>
      <c r="Q99" s="150"/>
      <c r="R99" s="150"/>
      <c r="S99" s="150"/>
      <c r="T99" s="150"/>
      <c r="U99" s="150"/>
      <c r="V99" s="150"/>
      <c r="W99" s="150"/>
      <c r="X99" s="150"/>
    </row>
    <row r="100" spans="2:24" ht="15.75" x14ac:dyDescent="0.25">
      <c r="B100" s="121">
        <v>44439</v>
      </c>
      <c r="C100" s="110">
        <f t="shared" si="3"/>
        <v>474069.91526522668</v>
      </c>
      <c r="H100" s="238">
        <v>44773</v>
      </c>
      <c r="I100" s="110">
        <f t="shared" si="2"/>
        <v>474069.91526522668</v>
      </c>
      <c r="J100" s="170">
        <v>27</v>
      </c>
      <c r="K100" s="241">
        <f t="shared" si="4"/>
        <v>418883.60532871302</v>
      </c>
      <c r="L100" s="173"/>
      <c r="M100" s="283"/>
      <c r="N100" s="286"/>
      <c r="O100" s="288"/>
      <c r="P100" s="290"/>
      <c r="Q100" s="150"/>
      <c r="R100" s="150"/>
      <c r="S100" s="150"/>
      <c r="T100" s="150"/>
      <c r="U100" s="150"/>
      <c r="V100" s="150"/>
      <c r="W100" s="150"/>
      <c r="X100" s="150"/>
    </row>
    <row r="101" spans="2:24" ht="15.75" x14ac:dyDescent="0.25">
      <c r="B101" s="106">
        <v>44469</v>
      </c>
      <c r="C101" s="110">
        <f t="shared" si="3"/>
        <v>474069.91526522668</v>
      </c>
      <c r="H101" s="178">
        <v>44804</v>
      </c>
      <c r="I101" s="110">
        <f t="shared" si="2"/>
        <v>474069.91526522668</v>
      </c>
      <c r="J101" s="170">
        <v>28</v>
      </c>
      <c r="K101" s="241">
        <f t="shared" si="4"/>
        <v>416967.93413571594</v>
      </c>
      <c r="L101" s="173"/>
      <c r="M101" s="285"/>
      <c r="N101" s="286"/>
      <c r="O101" s="288"/>
      <c r="P101" s="290"/>
      <c r="Q101" s="150"/>
      <c r="R101" s="150"/>
      <c r="S101" s="150"/>
      <c r="T101" s="150"/>
      <c r="U101" s="150"/>
      <c r="V101" s="150"/>
      <c r="W101" s="150"/>
      <c r="X101" s="150"/>
    </row>
    <row r="102" spans="2:24" ht="15.75" x14ac:dyDescent="0.25">
      <c r="B102" s="106">
        <v>44500</v>
      </c>
      <c r="C102" s="110">
        <f t="shared" si="3"/>
        <v>474069.91526522668</v>
      </c>
      <c r="H102" s="238">
        <v>44834</v>
      </c>
      <c r="I102" s="110">
        <f t="shared" si="2"/>
        <v>474069.91526522668</v>
      </c>
      <c r="J102" s="170">
        <v>29</v>
      </c>
      <c r="K102" s="241">
        <f t="shared" si="4"/>
        <v>415061.02383971505</v>
      </c>
      <c r="L102" s="173"/>
      <c r="M102" s="283"/>
      <c r="N102" s="286"/>
      <c r="O102" s="288"/>
      <c r="P102" s="290"/>
      <c r="Q102" s="150"/>
      <c r="R102" s="150"/>
      <c r="S102" s="150"/>
      <c r="T102" s="150"/>
      <c r="U102" s="150"/>
      <c r="V102" s="150"/>
      <c r="W102" s="150"/>
      <c r="X102" s="150"/>
    </row>
    <row r="103" spans="2:24" ht="15.75" x14ac:dyDescent="0.25">
      <c r="B103" s="121">
        <v>44530</v>
      </c>
      <c r="C103" s="110">
        <f t="shared" si="3"/>
        <v>474069.91526522668</v>
      </c>
      <c r="H103" s="178">
        <v>44865</v>
      </c>
      <c r="I103" s="110">
        <f t="shared" si="2"/>
        <v>474069.91526522668</v>
      </c>
      <c r="J103" s="170">
        <v>30</v>
      </c>
      <c r="K103" s="241">
        <f t="shared" si="4"/>
        <v>413162.83437469241</v>
      </c>
      <c r="L103" s="173"/>
      <c r="M103" s="285"/>
      <c r="N103" s="286"/>
      <c r="O103" s="288"/>
      <c r="P103" s="290"/>
      <c r="Q103" s="150"/>
      <c r="R103" s="150"/>
      <c r="S103" s="150"/>
      <c r="T103" s="150"/>
      <c r="U103" s="150"/>
      <c r="V103" s="150"/>
      <c r="W103" s="150"/>
      <c r="X103" s="150"/>
    </row>
    <row r="104" spans="2:24" ht="15.75" x14ac:dyDescent="0.25">
      <c r="B104" s="106">
        <v>44561</v>
      </c>
      <c r="C104" s="110">
        <f t="shared" si="3"/>
        <v>474069.91526522668</v>
      </c>
      <c r="H104" s="178">
        <v>44895</v>
      </c>
      <c r="I104" s="110">
        <f t="shared" si="2"/>
        <v>474069.91526522668</v>
      </c>
      <c r="J104" s="170">
        <v>31</v>
      </c>
      <c r="K104" s="241">
        <f t="shared" si="4"/>
        <v>411273.32585786341</v>
      </c>
      <c r="L104" s="173"/>
      <c r="M104" s="285"/>
      <c r="N104" s="286"/>
      <c r="O104" s="288"/>
      <c r="P104" s="290"/>
      <c r="Q104" s="150"/>
      <c r="R104" s="150"/>
      <c r="S104" s="150"/>
      <c r="T104" s="150"/>
      <c r="U104" s="150"/>
      <c r="V104" s="150"/>
      <c r="W104" s="150"/>
      <c r="X104" s="150"/>
    </row>
    <row r="105" spans="2:24" ht="15.75" x14ac:dyDescent="0.25">
      <c r="B105" s="121">
        <v>44592</v>
      </c>
      <c r="C105" s="110">
        <f t="shared" si="3"/>
        <v>474069.91526522668</v>
      </c>
      <c r="H105" s="238">
        <v>44926</v>
      </c>
      <c r="I105" s="110">
        <f t="shared" si="2"/>
        <v>474069.91526522668</v>
      </c>
      <c r="J105" s="170">
        <v>32</v>
      </c>
      <c r="K105" s="241">
        <f t="shared" si="4"/>
        <v>409392.45858883829</v>
      </c>
      <c r="L105" s="173"/>
      <c r="M105" s="283"/>
      <c r="N105" s="286"/>
      <c r="O105" s="288"/>
      <c r="P105" s="290"/>
      <c r="Q105" s="150"/>
      <c r="R105" s="150"/>
      <c r="S105" s="150"/>
      <c r="T105" s="150"/>
      <c r="U105" s="150"/>
      <c r="V105" s="150"/>
      <c r="W105" s="150"/>
      <c r="X105" s="150"/>
    </row>
    <row r="106" spans="2:24" ht="15.75" x14ac:dyDescent="0.25">
      <c r="B106" s="106">
        <v>44620</v>
      </c>
      <c r="C106" s="110">
        <f t="shared" si="3"/>
        <v>474069.91526522668</v>
      </c>
      <c r="H106" s="178">
        <v>44957</v>
      </c>
      <c r="I106" s="110">
        <f t="shared" si="2"/>
        <v>474069.91526522668</v>
      </c>
      <c r="J106" s="170">
        <v>33</v>
      </c>
      <c r="K106" s="241">
        <f t="shared" si="4"/>
        <v>407520.19304878818</v>
      </c>
      <c r="L106" s="173"/>
      <c r="M106" s="285"/>
      <c r="N106" s="286"/>
      <c r="O106" s="288"/>
      <c r="P106" s="290"/>
      <c r="Q106" s="150"/>
      <c r="R106" s="150"/>
      <c r="S106" s="150"/>
      <c r="T106" s="150"/>
      <c r="U106" s="150"/>
      <c r="V106" s="150"/>
      <c r="W106" s="150"/>
      <c r="X106" s="150"/>
    </row>
    <row r="107" spans="2:24" ht="15.75" x14ac:dyDescent="0.25">
      <c r="B107" s="106">
        <v>44651</v>
      </c>
      <c r="C107" s="110">
        <f t="shared" si="3"/>
        <v>474069.91526522668</v>
      </c>
      <c r="H107" s="178">
        <v>44985</v>
      </c>
      <c r="I107" s="110">
        <f t="shared" si="2"/>
        <v>474069.91526522668</v>
      </c>
      <c r="J107" s="170">
        <v>34</v>
      </c>
      <c r="K107" s="241">
        <f t="shared" si="4"/>
        <v>405656.48989961483</v>
      </c>
      <c r="L107" s="173"/>
      <c r="M107" s="285"/>
      <c r="N107" s="286"/>
      <c r="O107" s="288"/>
      <c r="P107" s="290"/>
      <c r="Q107" s="150"/>
      <c r="R107" s="150"/>
      <c r="S107" s="150"/>
      <c r="T107" s="150"/>
      <c r="U107" s="150"/>
      <c r="V107" s="150"/>
      <c r="W107" s="150"/>
      <c r="X107" s="150"/>
    </row>
    <row r="108" spans="2:24" ht="15.75" x14ac:dyDescent="0.25">
      <c r="B108" s="121">
        <v>44681</v>
      </c>
      <c r="C108" s="110">
        <f t="shared" si="3"/>
        <v>474069.91526522668</v>
      </c>
      <c r="H108" s="238">
        <v>45016</v>
      </c>
      <c r="I108" s="110">
        <f t="shared" si="2"/>
        <v>474069.91526522668</v>
      </c>
      <c r="J108" s="170">
        <v>35</v>
      </c>
      <c r="K108" s="241">
        <f t="shared" si="4"/>
        <v>403801.30998312414</v>
      </c>
      <c r="L108" s="173"/>
      <c r="M108" s="283"/>
      <c r="N108" s="286"/>
      <c r="O108" s="288"/>
      <c r="P108" s="290"/>
      <c r="Q108" s="150"/>
      <c r="R108" s="150"/>
      <c r="S108" s="150"/>
      <c r="T108" s="150"/>
      <c r="U108" s="150"/>
      <c r="V108" s="150"/>
      <c r="W108" s="150"/>
      <c r="X108" s="150"/>
    </row>
    <row r="109" spans="2:24" ht="15.75" x14ac:dyDescent="0.25">
      <c r="B109" s="106">
        <v>44712</v>
      </c>
      <c r="C109" s="110">
        <f t="shared" si="3"/>
        <v>474069.91526522668</v>
      </c>
      <c r="H109" s="178">
        <v>45046</v>
      </c>
      <c r="I109" s="110">
        <f t="shared" si="2"/>
        <v>474069.91526522668</v>
      </c>
      <c r="J109" s="170">
        <v>36</v>
      </c>
      <c r="K109" s="241">
        <f t="shared" si="4"/>
        <v>401954.61432020343</v>
      </c>
      <c r="L109" s="173"/>
      <c r="M109" s="285"/>
      <c r="N109" s="286"/>
      <c r="O109" s="288"/>
      <c r="P109" s="290"/>
      <c r="Q109" s="150"/>
      <c r="R109" s="150"/>
      <c r="S109" s="150"/>
      <c r="T109" s="150"/>
      <c r="U109" s="150"/>
      <c r="V109" s="150"/>
      <c r="W109" s="150"/>
      <c r="X109" s="150"/>
    </row>
    <row r="110" spans="2:24" ht="15.75" x14ac:dyDescent="0.25">
      <c r="B110" s="106">
        <v>44742</v>
      </c>
      <c r="C110" s="110">
        <f t="shared" si="3"/>
        <v>474069.91526522668</v>
      </c>
      <c r="H110" s="178">
        <v>45077</v>
      </c>
      <c r="I110" s="110">
        <f t="shared" si="2"/>
        <v>474069.91526522668</v>
      </c>
      <c r="J110" s="170">
        <v>37</v>
      </c>
      <c r="K110" s="241">
        <f t="shared" si="4"/>
        <v>400116.36411000183</v>
      </c>
      <c r="L110" s="173"/>
      <c r="M110" s="285"/>
      <c r="N110" s="286"/>
      <c r="O110" s="288"/>
      <c r="P110" s="290"/>
      <c r="Q110" s="150"/>
      <c r="R110" s="150"/>
      <c r="S110" s="150"/>
      <c r="T110" s="150"/>
      <c r="U110" s="150"/>
      <c r="V110" s="150"/>
      <c r="W110" s="150"/>
      <c r="X110" s="150"/>
    </row>
    <row r="111" spans="2:24" ht="15.75" x14ac:dyDescent="0.25">
      <c r="B111" s="121">
        <v>44773</v>
      </c>
      <c r="C111" s="110">
        <f t="shared" si="3"/>
        <v>474069.91526522668</v>
      </c>
      <c r="H111" s="238">
        <v>45107</v>
      </c>
      <c r="I111" s="110">
        <f t="shared" si="2"/>
        <v>474069.91526522668</v>
      </c>
      <c r="J111" s="170">
        <v>38</v>
      </c>
      <c r="K111" s="241">
        <f t="shared" si="4"/>
        <v>398286.52072911616</v>
      </c>
      <c r="L111" s="173"/>
      <c r="M111" s="283"/>
      <c r="N111" s="286"/>
      <c r="O111" s="288"/>
      <c r="P111" s="290"/>
      <c r="Q111" s="150"/>
      <c r="R111" s="150"/>
      <c r="S111" s="150"/>
      <c r="T111" s="150"/>
      <c r="U111" s="150"/>
      <c r="V111" s="150"/>
      <c r="W111" s="150"/>
      <c r="X111" s="150"/>
    </row>
    <row r="112" spans="2:24" ht="15.75" x14ac:dyDescent="0.25">
      <c r="B112" s="106">
        <v>44804</v>
      </c>
      <c r="C112" s="110">
        <f t="shared" si="3"/>
        <v>474069.91526522668</v>
      </c>
      <c r="H112" s="178">
        <v>45138</v>
      </c>
      <c r="I112" s="110">
        <f t="shared" si="2"/>
        <v>474069.91526522668</v>
      </c>
      <c r="J112" s="170">
        <v>39</v>
      </c>
      <c r="K112" s="241">
        <f t="shared" si="4"/>
        <v>396465.04573077842</v>
      </c>
      <c r="L112" s="173"/>
      <c r="M112" s="285"/>
      <c r="N112" s="286"/>
      <c r="O112" s="288"/>
      <c r="P112" s="290"/>
      <c r="Q112" s="150"/>
      <c r="R112" s="150"/>
      <c r="S112" s="150"/>
      <c r="T112" s="150"/>
      <c r="U112" s="150"/>
      <c r="V112" s="150"/>
      <c r="W112" s="150"/>
      <c r="X112" s="150"/>
    </row>
    <row r="113" spans="2:24" ht="15.75" x14ac:dyDescent="0.25">
      <c r="B113" s="121">
        <v>44834</v>
      </c>
      <c r="C113" s="110">
        <f t="shared" si="3"/>
        <v>474069.91526522668</v>
      </c>
      <c r="H113" s="238">
        <v>45169</v>
      </c>
      <c r="I113" s="110">
        <f t="shared" si="2"/>
        <v>474069.91526522668</v>
      </c>
      <c r="J113" s="170">
        <v>40</v>
      </c>
      <c r="K113" s="241">
        <f t="shared" si="4"/>
        <v>394651.90084404853</v>
      </c>
      <c r="L113" s="173"/>
      <c r="M113" s="283"/>
      <c r="N113" s="286"/>
      <c r="O113" s="288"/>
      <c r="P113" s="290"/>
      <c r="Q113" s="150"/>
      <c r="R113" s="150"/>
      <c r="S113" s="150"/>
      <c r="T113" s="150"/>
      <c r="U113" s="150"/>
      <c r="V113" s="150"/>
      <c r="W113" s="150"/>
      <c r="X113" s="150"/>
    </row>
    <row r="114" spans="2:24" ht="15.75" x14ac:dyDescent="0.25">
      <c r="B114" s="106">
        <v>44865</v>
      </c>
      <c r="C114" s="110">
        <f t="shared" si="3"/>
        <v>474069.91526522668</v>
      </c>
      <c r="H114" s="178">
        <v>45199</v>
      </c>
      <c r="I114" s="110">
        <f t="shared" si="2"/>
        <v>474069.91526522668</v>
      </c>
      <c r="J114" s="170">
        <v>41</v>
      </c>
      <c r="K114" s="241">
        <f t="shared" si="4"/>
        <v>392847.04797300993</v>
      </c>
      <c r="L114" s="173"/>
      <c r="M114" s="285"/>
      <c r="N114" s="286"/>
      <c r="O114" s="288"/>
      <c r="P114" s="290"/>
      <c r="Q114" s="150"/>
      <c r="R114" s="150"/>
      <c r="S114" s="150"/>
      <c r="T114" s="150"/>
      <c r="U114" s="150"/>
      <c r="V114" s="150"/>
      <c r="W114" s="150"/>
      <c r="X114" s="150"/>
    </row>
    <row r="115" spans="2:24" ht="15.75" x14ac:dyDescent="0.25">
      <c r="B115" s="106">
        <v>44895</v>
      </c>
      <c r="C115" s="110">
        <f t="shared" si="3"/>
        <v>474069.91526522668</v>
      </c>
      <c r="H115" s="238">
        <v>45230</v>
      </c>
      <c r="I115" s="110">
        <f t="shared" si="2"/>
        <v>474069.91526522668</v>
      </c>
      <c r="J115" s="170">
        <v>42</v>
      </c>
      <c r="K115" s="241">
        <f t="shared" si="4"/>
        <v>391050.44919596956</v>
      </c>
      <c r="L115" s="173"/>
      <c r="M115" s="283"/>
      <c r="N115" s="286"/>
      <c r="O115" s="288"/>
      <c r="P115" s="290"/>
      <c r="Q115" s="150"/>
      <c r="R115" s="150"/>
      <c r="S115" s="150"/>
      <c r="T115" s="150"/>
      <c r="U115" s="150"/>
      <c r="V115" s="150"/>
      <c r="W115" s="150"/>
      <c r="X115" s="150"/>
    </row>
    <row r="116" spans="2:24" ht="15.75" x14ac:dyDescent="0.25">
      <c r="B116" s="121">
        <v>44926</v>
      </c>
      <c r="C116" s="110">
        <f t="shared" si="3"/>
        <v>474069.91526522668</v>
      </c>
      <c r="H116" s="178">
        <v>45260</v>
      </c>
      <c r="I116" s="110">
        <f t="shared" si="2"/>
        <v>474069.91526522668</v>
      </c>
      <c r="J116" s="170">
        <v>43</v>
      </c>
      <c r="K116" s="241">
        <f t="shared" si="4"/>
        <v>389262.06676466035</v>
      </c>
      <c r="L116" s="173"/>
      <c r="M116" s="285"/>
      <c r="N116" s="286"/>
      <c r="O116" s="288"/>
      <c r="P116" s="290"/>
      <c r="Q116" s="150"/>
      <c r="R116" s="150"/>
      <c r="S116" s="150"/>
      <c r="T116" s="150"/>
      <c r="U116" s="150"/>
      <c r="V116" s="150"/>
      <c r="W116" s="150"/>
      <c r="X116" s="150"/>
    </row>
    <row r="117" spans="2:24" ht="16.5" thickBot="1" x14ac:dyDescent="0.3">
      <c r="B117" s="106">
        <v>44957</v>
      </c>
      <c r="C117" s="110">
        <f t="shared" si="3"/>
        <v>474069.91526522668</v>
      </c>
      <c r="F117" s="254"/>
      <c r="H117" s="336">
        <v>45291</v>
      </c>
      <c r="I117" s="337">
        <f>+($D$56*$D$58)+D56</f>
        <v>104642214.31526522</v>
      </c>
      <c r="J117" s="338">
        <v>44</v>
      </c>
      <c r="K117" s="339">
        <f t="shared" si="4"/>
        <v>85529494.398446858</v>
      </c>
      <c r="L117" s="173"/>
      <c r="M117" s="283"/>
      <c r="N117" s="286"/>
      <c r="O117" s="288"/>
      <c r="P117" s="290"/>
      <c r="Q117" s="150"/>
      <c r="R117" s="150"/>
      <c r="S117" s="150"/>
      <c r="T117" s="150"/>
      <c r="U117" s="150"/>
      <c r="V117" s="150"/>
      <c r="W117" s="150"/>
      <c r="X117" s="150"/>
    </row>
    <row r="118" spans="2:24" ht="18.75" thickBot="1" x14ac:dyDescent="0.3">
      <c r="B118" s="106">
        <v>44985</v>
      </c>
      <c r="C118" s="110">
        <f t="shared" si="3"/>
        <v>474069.91526522668</v>
      </c>
      <c r="H118" s="244"/>
      <c r="I118" s="245"/>
      <c r="J118" s="245"/>
      <c r="K118" s="335">
        <f>+SUM(K72:K117)</f>
        <v>103988900.95894891</v>
      </c>
      <c r="L118" s="173"/>
      <c r="M118" s="173"/>
      <c r="N118" s="173"/>
      <c r="O118" s="173"/>
      <c r="P118" s="236"/>
      <c r="Q118" s="150"/>
      <c r="R118" s="150"/>
      <c r="S118" s="150"/>
      <c r="T118" s="150"/>
      <c r="U118" s="150"/>
      <c r="V118" s="150"/>
      <c r="W118" s="150"/>
      <c r="X118" s="150"/>
    </row>
    <row r="119" spans="2:24" ht="18" x14ac:dyDescent="0.25">
      <c r="B119" s="121">
        <v>45016</v>
      </c>
      <c r="C119" s="110">
        <f t="shared" si="3"/>
        <v>474069.91526522668</v>
      </c>
      <c r="H119" s="235"/>
      <c r="I119" s="150"/>
      <c r="J119" s="150"/>
      <c r="K119" s="236"/>
      <c r="L119" s="150"/>
      <c r="M119" s="173"/>
      <c r="N119" s="173"/>
      <c r="O119" s="173"/>
      <c r="P119" s="236"/>
      <c r="Q119" s="150"/>
      <c r="R119" s="150"/>
      <c r="S119" s="150"/>
      <c r="T119" s="150"/>
      <c r="U119" s="150"/>
      <c r="V119" s="150"/>
      <c r="W119" s="150"/>
      <c r="X119" s="150"/>
    </row>
    <row r="120" spans="2:24" ht="15.75" x14ac:dyDescent="0.25">
      <c r="B120" s="106">
        <v>45046</v>
      </c>
      <c r="C120" s="110">
        <f t="shared" si="3"/>
        <v>474069.91526522668</v>
      </c>
      <c r="M120" s="174"/>
      <c r="N120" s="174"/>
      <c r="O120" s="174"/>
      <c r="P120" s="174"/>
    </row>
    <row r="121" spans="2:24" ht="15.75" x14ac:dyDescent="0.25">
      <c r="B121" s="106">
        <v>45077</v>
      </c>
      <c r="C121" s="110">
        <f t="shared" si="3"/>
        <v>474069.91526522668</v>
      </c>
      <c r="H121" s="111" t="s">
        <v>220</v>
      </c>
      <c r="Q121" s="329"/>
      <c r="R121" s="173"/>
      <c r="S121" s="173"/>
      <c r="T121" s="173"/>
      <c r="U121" s="173"/>
      <c r="V121" s="173"/>
      <c r="W121" s="173"/>
      <c r="X121" s="173"/>
    </row>
    <row r="122" spans="2:24" ht="15.75" x14ac:dyDescent="0.25">
      <c r="B122" s="121">
        <v>45107</v>
      </c>
      <c r="C122" s="110">
        <f t="shared" si="3"/>
        <v>474069.91526522668</v>
      </c>
      <c r="H122" s="279" t="s">
        <v>34</v>
      </c>
      <c r="I122" s="349" t="s">
        <v>44</v>
      </c>
      <c r="J122" s="349"/>
      <c r="K122" s="349"/>
      <c r="L122" s="349"/>
      <c r="M122" s="349"/>
      <c r="N122" s="50" t="s">
        <v>46</v>
      </c>
      <c r="O122" s="50" t="s">
        <v>47</v>
      </c>
      <c r="Q122" s="330"/>
      <c r="R122" s="387"/>
      <c r="S122" s="387"/>
      <c r="T122" s="387"/>
      <c r="U122" s="387"/>
      <c r="V122" s="387"/>
      <c r="W122" s="330"/>
      <c r="X122" s="330"/>
    </row>
    <row r="123" spans="2:24" ht="15.75" x14ac:dyDescent="0.25">
      <c r="B123" s="106">
        <v>45138</v>
      </c>
      <c r="C123" s="110">
        <f t="shared" si="3"/>
        <v>474069.91526522668</v>
      </c>
      <c r="H123" s="325">
        <v>43951</v>
      </c>
      <c r="I123" s="358" t="s">
        <v>188</v>
      </c>
      <c r="J123" s="358"/>
      <c r="K123" s="358"/>
      <c r="L123" s="358"/>
      <c r="M123" s="358"/>
      <c r="N123" s="52">
        <f>+K118-('X.4. Valoración feb y mar'!R129-'X.6. Valoración abril'!N127)</f>
        <v>477738.21055038273</v>
      </c>
      <c r="O123" s="119"/>
      <c r="Q123" s="331"/>
      <c r="R123" s="388"/>
      <c r="S123" s="388"/>
      <c r="T123" s="388"/>
      <c r="U123" s="388"/>
      <c r="V123" s="388"/>
      <c r="W123" s="332"/>
      <c r="X123" s="328"/>
    </row>
    <row r="124" spans="2:24" ht="15.75" x14ac:dyDescent="0.25">
      <c r="B124" s="121">
        <v>45169</v>
      </c>
      <c r="C124" s="110">
        <f t="shared" si="3"/>
        <v>474069.91526522668</v>
      </c>
      <c r="H124" s="325">
        <v>43951</v>
      </c>
      <c r="I124" s="358" t="s">
        <v>187</v>
      </c>
      <c r="J124" s="358"/>
      <c r="K124" s="358"/>
      <c r="L124" s="358"/>
      <c r="M124" s="358"/>
      <c r="N124" s="119"/>
      <c r="O124" s="52">
        <f>+N123</f>
        <v>477738.21055038273</v>
      </c>
      <c r="Q124" s="331"/>
      <c r="R124" s="388"/>
      <c r="S124" s="388"/>
      <c r="T124" s="388"/>
      <c r="U124" s="388"/>
      <c r="V124" s="388"/>
      <c r="W124" s="328"/>
      <c r="X124" s="332"/>
    </row>
    <row r="125" spans="2:24" ht="15.75" x14ac:dyDescent="0.25">
      <c r="B125" s="106">
        <v>45199</v>
      </c>
      <c r="C125" s="110">
        <f t="shared" si="3"/>
        <v>474069.91526522668</v>
      </c>
      <c r="H125" s="326"/>
      <c r="Q125" s="173"/>
      <c r="R125" s="173"/>
      <c r="S125" s="173"/>
      <c r="T125" s="173"/>
      <c r="U125" s="173"/>
      <c r="V125" s="173"/>
      <c r="W125" s="173"/>
      <c r="X125" s="173"/>
    </row>
    <row r="126" spans="2:24" ht="15.75" x14ac:dyDescent="0.25">
      <c r="B126" s="121">
        <v>45230</v>
      </c>
      <c r="C126" s="110">
        <f t="shared" si="3"/>
        <v>474069.91526522668</v>
      </c>
      <c r="H126" s="280" t="s">
        <v>34</v>
      </c>
      <c r="I126" s="357" t="s">
        <v>44</v>
      </c>
      <c r="J126" s="357"/>
      <c r="K126" s="357"/>
      <c r="L126" s="357"/>
      <c r="M126" s="357"/>
      <c r="N126" s="277" t="s">
        <v>46</v>
      </c>
      <c r="O126" s="277" t="s">
        <v>47</v>
      </c>
      <c r="Q126" s="330"/>
      <c r="R126" s="387"/>
      <c r="S126" s="387"/>
      <c r="T126" s="387"/>
      <c r="U126" s="387"/>
      <c r="V126" s="387"/>
      <c r="W126" s="330"/>
      <c r="X126" s="330"/>
    </row>
    <row r="127" spans="2:24" ht="15.75" x14ac:dyDescent="0.25">
      <c r="B127" s="106">
        <v>45260</v>
      </c>
      <c r="C127" s="110">
        <f t="shared" si="3"/>
        <v>474069.91526522668</v>
      </c>
      <c r="H127" s="325">
        <v>43951</v>
      </c>
      <c r="I127" s="358" t="s">
        <v>45</v>
      </c>
      <c r="J127" s="358"/>
      <c r="K127" s="358"/>
      <c r="L127" s="358"/>
      <c r="M127" s="358"/>
      <c r="N127" s="276">
        <f>+I74</f>
        <v>474069.91526522668</v>
      </c>
      <c r="O127" s="199"/>
      <c r="Q127" s="331"/>
      <c r="R127" s="388"/>
      <c r="S127" s="388"/>
      <c r="T127" s="388"/>
      <c r="U127" s="388"/>
      <c r="V127" s="388"/>
      <c r="W127" s="328"/>
      <c r="X127" s="328"/>
    </row>
    <row r="128" spans="2:24" ht="16.5" thickBot="1" x14ac:dyDescent="0.3">
      <c r="B128" s="121">
        <v>45291</v>
      </c>
      <c r="C128" s="110">
        <f>+($D$56*$D$58)+D56</f>
        <v>104642214.31526522</v>
      </c>
      <c r="H128" s="325">
        <v>43951</v>
      </c>
      <c r="I128" s="358" t="s">
        <v>188</v>
      </c>
      <c r="J128" s="358"/>
      <c r="K128" s="358"/>
      <c r="L128" s="358"/>
      <c r="M128" s="358"/>
      <c r="N128" s="199"/>
      <c r="O128" s="199">
        <f>+N127</f>
        <v>474069.91526522668</v>
      </c>
      <c r="Q128" s="331"/>
      <c r="R128" s="388"/>
      <c r="S128" s="388"/>
      <c r="T128" s="388"/>
      <c r="U128" s="388"/>
      <c r="V128" s="388"/>
      <c r="W128" s="328"/>
      <c r="X128" s="328"/>
    </row>
    <row r="129" spans="8:24" ht="15.75" thickBot="1" x14ac:dyDescent="0.3">
      <c r="H129" s="275" t="s">
        <v>216</v>
      </c>
      <c r="I129" s="274">
        <f>+'X.4. Valoración feb y mar'!R129+'X.6. Valoración abril'!N123-'X.6. Valoración abril'!O128</f>
        <v>103988900.95894891</v>
      </c>
      <c r="J129" s="150"/>
      <c r="K129" s="150"/>
      <c r="L129" s="150"/>
      <c r="M129" s="150"/>
      <c r="N129" s="150"/>
      <c r="O129" s="150"/>
      <c r="Q129" s="275"/>
      <c r="R129" s="340"/>
      <c r="S129" s="327"/>
      <c r="T129" s="327"/>
      <c r="U129" s="327"/>
      <c r="V129" s="327"/>
      <c r="W129" s="328"/>
      <c r="X129" s="328"/>
    </row>
  </sheetData>
  <sheetProtection sheet="1" formatCells="0" formatColumns="0" formatRows="0" insertColumns="0" insertRows="0" insertHyperlinks="0" deleteColumns="0" deleteRows="0" sort="0" autoFilter="0" pivotTables="0"/>
  <autoFilter ref="H56:K118" xr:uid="{BC05C134-F483-45F0-8F5C-EA2863FA3007}">
    <filterColumn colId="0">
      <filters blank="1">
        <dateGroupItem year="2023" dateTimeGrouping="year"/>
        <dateGroupItem year="2022" dateTimeGrouping="year"/>
        <dateGroupItem year="2021" dateTimeGrouping="year"/>
        <dateGroupItem year="2020" month="3" dateTimeGrouping="month"/>
        <dateGroupItem year="2020" month="4" dateTimeGrouping="month"/>
        <dateGroupItem year="2020" month="5" dateTimeGrouping="month"/>
        <dateGroupItem year="2020" month="6" dateTimeGrouping="month"/>
        <dateGroupItem year="2020" month="7" dateTimeGrouping="month"/>
        <dateGroupItem year="2020" month="8" dateTimeGrouping="month"/>
        <dateGroupItem year="2020" month="9" dateTimeGrouping="month"/>
        <dateGroupItem year="2020" month="10" dateTimeGrouping="month"/>
        <dateGroupItem year="2020" month="11" dateTimeGrouping="month"/>
        <dateGroupItem year="2020" month="12" dateTimeGrouping="month"/>
      </filters>
    </filterColumn>
  </autoFilter>
  <mergeCells count="30">
    <mergeCell ref="I127:M127"/>
    <mergeCell ref="R127:V127"/>
    <mergeCell ref="I128:M128"/>
    <mergeCell ref="R128:V128"/>
    <mergeCell ref="I123:M123"/>
    <mergeCell ref="R123:V123"/>
    <mergeCell ref="I124:M124"/>
    <mergeCell ref="R124:V124"/>
    <mergeCell ref="I126:M126"/>
    <mergeCell ref="R126:V126"/>
    <mergeCell ref="I122:M122"/>
    <mergeCell ref="R122:V122"/>
    <mergeCell ref="I50:M50"/>
    <mergeCell ref="R46:V46"/>
    <mergeCell ref="I44:M44"/>
    <mergeCell ref="R48:V48"/>
    <mergeCell ref="I45:M45"/>
    <mergeCell ref="R49:V49"/>
    <mergeCell ref="I46:M46"/>
    <mergeCell ref="R50:V50"/>
    <mergeCell ref="H55:K55"/>
    <mergeCell ref="M55:P55"/>
    <mergeCell ref="I49:M49"/>
    <mergeCell ref="R45:V45"/>
    <mergeCell ref="R44:V44"/>
    <mergeCell ref="H14:K14"/>
    <mergeCell ref="H53:K53"/>
    <mergeCell ref="H16:K16"/>
    <mergeCell ref="M16:P16"/>
    <mergeCell ref="I48:M4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3FDF-B4D1-4056-8F81-D8DC0EA53E2E}">
  <dimension ref="A1:AE265"/>
  <sheetViews>
    <sheetView topLeftCell="M110" zoomScale="84" zoomScaleNormal="84" workbookViewId="0">
      <selection activeCell="P211" sqref="P211"/>
    </sheetView>
  </sheetViews>
  <sheetFormatPr defaultColWidth="9.140625" defaultRowHeight="15.75" x14ac:dyDescent="0.25"/>
  <cols>
    <col min="1" max="1" width="14.85546875" style="56" customWidth="1"/>
    <col min="2" max="2" width="14.5703125" style="56" customWidth="1"/>
    <col min="3" max="3" width="24.42578125" style="56" bestFit="1" customWidth="1"/>
    <col min="4" max="5" width="5.7109375" style="56" customWidth="1"/>
    <col min="6" max="6" width="22.5703125" style="56" bestFit="1" customWidth="1"/>
    <col min="7" max="8" width="5.7109375" style="56" customWidth="1"/>
    <col min="9" max="9" width="31.42578125" style="56" bestFit="1" customWidth="1"/>
    <col min="10" max="10" width="9.140625" style="56" customWidth="1"/>
    <col min="11" max="11" width="9" style="56" customWidth="1"/>
    <col min="12" max="12" width="5.7109375" style="56" customWidth="1"/>
    <col min="13" max="13" width="30.140625" style="56" customWidth="1"/>
    <col min="14" max="14" width="15.85546875" style="56" customWidth="1"/>
    <col min="15" max="15" width="13.5703125" style="56" customWidth="1"/>
    <col min="16" max="16" width="27.42578125" style="56" customWidth="1"/>
    <col min="17" max="18" width="20.7109375" style="56" customWidth="1"/>
    <col min="19" max="19" width="25.7109375" style="56" bestFit="1" customWidth="1"/>
    <col min="20" max="20" width="4.85546875" style="56" customWidth="1"/>
    <col min="21" max="23" width="20.7109375" style="56" customWidth="1"/>
    <col min="24" max="24" width="27.42578125" style="56" bestFit="1" customWidth="1"/>
    <col min="25" max="30" width="9.140625" style="56"/>
    <col min="31" max="31" width="18.85546875" style="56" bestFit="1" customWidth="1"/>
    <col min="32" max="16384" width="9.140625" style="56"/>
  </cols>
  <sheetData>
    <row r="1" spans="1:26" ht="16.5" thickBot="1" x14ac:dyDescent="0.3">
      <c r="A1" s="55" t="s">
        <v>51</v>
      </c>
    </row>
    <row r="2" spans="1:26" ht="16.5" thickBot="1" x14ac:dyDescent="0.3">
      <c r="A2" s="55" t="s">
        <v>52</v>
      </c>
      <c r="I2" s="57" t="s">
        <v>53</v>
      </c>
      <c r="J2" s="58">
        <v>4.5</v>
      </c>
      <c r="K2" s="59" t="s">
        <v>54</v>
      </c>
    </row>
    <row r="3" spans="1:26" x14ac:dyDescent="0.25">
      <c r="A3" s="55" t="s">
        <v>55</v>
      </c>
    </row>
    <row r="4" spans="1:26" x14ac:dyDescent="0.25">
      <c r="A4" s="55" t="s">
        <v>56</v>
      </c>
    </row>
    <row r="7" spans="1:26" x14ac:dyDescent="0.25">
      <c r="A7" s="55" t="s">
        <v>57</v>
      </c>
    </row>
    <row r="8" spans="1:26" x14ac:dyDescent="0.25">
      <c r="P8" s="390" t="s">
        <v>58</v>
      </c>
      <c r="Q8" s="391"/>
      <c r="R8" s="391"/>
      <c r="S8" s="391"/>
      <c r="T8" s="103"/>
      <c r="U8" s="390" t="s">
        <v>59</v>
      </c>
      <c r="V8" s="391"/>
      <c r="W8" s="391"/>
      <c r="X8" s="391"/>
    </row>
    <row r="9" spans="1:26" ht="18.75" x14ac:dyDescent="0.25">
      <c r="B9" s="56" t="s">
        <v>60</v>
      </c>
      <c r="I9" s="56" t="s">
        <v>61</v>
      </c>
      <c r="P9" s="60" t="s">
        <v>62</v>
      </c>
      <c r="Q9" s="60" t="s">
        <v>63</v>
      </c>
      <c r="R9" s="60" t="s">
        <v>64</v>
      </c>
      <c r="S9" s="60" t="s">
        <v>65</v>
      </c>
      <c r="T9" s="60"/>
      <c r="U9" s="60" t="s">
        <v>62</v>
      </c>
      <c r="V9" s="60" t="s">
        <v>63</v>
      </c>
      <c r="W9" s="60" t="s">
        <v>64</v>
      </c>
      <c r="X9" s="60" t="s">
        <v>65</v>
      </c>
    </row>
    <row r="10" spans="1:26" x14ac:dyDescent="0.25">
      <c r="B10" s="56" t="s">
        <v>22</v>
      </c>
      <c r="F10" s="61">
        <v>100000000</v>
      </c>
      <c r="I10" s="56" t="s">
        <v>22</v>
      </c>
      <c r="M10" s="61">
        <v>100000000</v>
      </c>
      <c r="P10" s="62">
        <v>43190</v>
      </c>
      <c r="Q10" s="63">
        <v>-100000000</v>
      </c>
      <c r="R10" s="56">
        <v>0</v>
      </c>
      <c r="U10" s="62">
        <v>43190</v>
      </c>
      <c r="V10" s="63">
        <v>-100000000</v>
      </c>
      <c r="W10" s="56">
        <v>0</v>
      </c>
    </row>
    <row r="11" spans="1:26" x14ac:dyDescent="0.25">
      <c r="B11" s="64" t="s">
        <v>66</v>
      </c>
      <c r="F11" s="65">
        <v>0.05</v>
      </c>
      <c r="G11" s="56" t="s">
        <v>114</v>
      </c>
      <c r="I11" s="64" t="s">
        <v>66</v>
      </c>
      <c r="M11" s="65" t="s">
        <v>67</v>
      </c>
      <c r="P11" s="62">
        <v>43281</v>
      </c>
      <c r="Q11" s="63">
        <f>$F$10*$F$11/4</f>
        <v>1250000</v>
      </c>
      <c r="R11" s="66"/>
      <c r="U11" s="62">
        <v>43281</v>
      </c>
      <c r="V11" s="63">
        <f>$F$10*$F$11/4</f>
        <v>1250000</v>
      </c>
    </row>
    <row r="12" spans="1:26" x14ac:dyDescent="0.25">
      <c r="B12" s="64" t="s">
        <v>68</v>
      </c>
      <c r="F12" s="56" t="s">
        <v>69</v>
      </c>
      <c r="I12" s="64" t="s">
        <v>68</v>
      </c>
      <c r="M12" s="56" t="s">
        <v>69</v>
      </c>
      <c r="P12" s="62">
        <v>43373</v>
      </c>
      <c r="Q12" s="63">
        <f t="shared" ref="Q12:Q21" si="0">$F$10*$F$11/4</f>
        <v>1250000</v>
      </c>
      <c r="R12" s="66"/>
      <c r="U12" s="62">
        <v>43373</v>
      </c>
      <c r="V12" s="63">
        <f t="shared" ref="V12:V15" si="1">$F$10*$F$11/4</f>
        <v>1250000</v>
      </c>
    </row>
    <row r="13" spans="1:26" x14ac:dyDescent="0.25">
      <c r="B13" s="64" t="s">
        <v>70</v>
      </c>
      <c r="F13" s="56" t="s">
        <v>71</v>
      </c>
      <c r="I13" s="64" t="s">
        <v>70</v>
      </c>
      <c r="M13" s="56" t="s">
        <v>71</v>
      </c>
      <c r="P13" s="62">
        <v>43465</v>
      </c>
      <c r="Q13" s="63">
        <f t="shared" si="0"/>
        <v>1250000</v>
      </c>
      <c r="R13" s="66"/>
      <c r="U13" s="62">
        <v>43465</v>
      </c>
      <c r="V13" s="63">
        <f t="shared" si="1"/>
        <v>1250000</v>
      </c>
    </row>
    <row r="14" spans="1:26" x14ac:dyDescent="0.25">
      <c r="B14" s="64" t="s">
        <v>72</v>
      </c>
      <c r="F14" s="56" t="s">
        <v>73</v>
      </c>
      <c r="I14" s="64" t="s">
        <v>72</v>
      </c>
      <c r="M14" s="56" t="s">
        <v>73</v>
      </c>
      <c r="P14" s="62">
        <v>43555</v>
      </c>
      <c r="Q14" s="63">
        <f t="shared" si="0"/>
        <v>1250000</v>
      </c>
      <c r="R14" s="66"/>
      <c r="U14" s="62">
        <v>43555</v>
      </c>
      <c r="V14" s="63">
        <f t="shared" si="1"/>
        <v>1250000</v>
      </c>
    </row>
    <row r="15" spans="1:26" x14ac:dyDescent="0.25">
      <c r="B15" s="64" t="s">
        <v>74</v>
      </c>
      <c r="F15" s="65">
        <v>0.98</v>
      </c>
      <c r="I15" s="64" t="s">
        <v>74</v>
      </c>
      <c r="M15" s="65">
        <v>0.98</v>
      </c>
      <c r="P15" s="62">
        <v>43646</v>
      </c>
      <c r="Q15" s="63">
        <f t="shared" si="0"/>
        <v>1250000</v>
      </c>
      <c r="R15" s="66"/>
      <c r="U15" s="62">
        <v>43646</v>
      </c>
      <c r="V15" s="63">
        <f t="shared" si="1"/>
        <v>1250000</v>
      </c>
    </row>
    <row r="16" spans="1:26" ht="18.75" x14ac:dyDescent="0.3">
      <c r="B16" s="64" t="s">
        <v>75</v>
      </c>
      <c r="F16" s="56" t="s">
        <v>76</v>
      </c>
      <c r="I16" s="64" t="s">
        <v>75</v>
      </c>
      <c r="M16" s="56" t="s">
        <v>76</v>
      </c>
      <c r="P16" s="67">
        <v>43677</v>
      </c>
      <c r="Q16" s="68"/>
      <c r="R16" s="69"/>
      <c r="S16" s="70"/>
      <c r="T16" s="71"/>
      <c r="U16" s="67">
        <v>43677</v>
      </c>
      <c r="V16" s="70"/>
      <c r="W16" s="70"/>
      <c r="X16" s="70"/>
      <c r="Y16" s="72">
        <v>3.5000000000000003E-2</v>
      </c>
      <c r="Z16" s="59" t="s">
        <v>77</v>
      </c>
    </row>
    <row r="17" spans="1:31" ht="20.25" x14ac:dyDescent="0.3">
      <c r="C17" s="73"/>
      <c r="I17" s="56" t="s">
        <v>78</v>
      </c>
      <c r="P17" s="62">
        <v>43738</v>
      </c>
      <c r="Q17" s="63">
        <f t="shared" si="0"/>
        <v>1250000</v>
      </c>
      <c r="R17" s="66">
        <v>0.66666666666666696</v>
      </c>
      <c r="S17" s="74">
        <f>Q17/(1+$C$18)^(R17)</f>
        <v>1236823.4967893432</v>
      </c>
      <c r="U17" s="62">
        <v>43738</v>
      </c>
      <c r="V17" s="63">
        <f t="shared" ref="V17:V21" si="2">$F$10*$F$11/4</f>
        <v>1250000</v>
      </c>
      <c r="W17" s="66">
        <v>0.66666666666666663</v>
      </c>
      <c r="X17" s="74">
        <f>V17/(1+$Y$16)^(W17)</f>
        <v>1221658.3839969095</v>
      </c>
    </row>
    <row r="18" spans="1:31" ht="20.25" x14ac:dyDescent="0.3">
      <c r="B18" s="75" t="s">
        <v>79</v>
      </c>
      <c r="C18" s="76">
        <f>IRR(C19:C25)</f>
        <v>1.60227411110756E-2</v>
      </c>
      <c r="D18" s="56" t="s">
        <v>115</v>
      </c>
      <c r="O18" s="66"/>
      <c r="P18" s="62">
        <v>43830</v>
      </c>
      <c r="Q18" s="63">
        <f>$F$10*$F$11/4</f>
        <v>1250000</v>
      </c>
      <c r="R18" s="66">
        <v>1.6666666666666667</v>
      </c>
      <c r="S18" s="74">
        <f t="shared" ref="S18:S22" si="3">Q18/(1+$C$18)^(R18)</f>
        <v>1217318.7141823324</v>
      </c>
      <c r="U18" s="62">
        <v>43830</v>
      </c>
      <c r="V18" s="63">
        <f t="shared" si="2"/>
        <v>1250000</v>
      </c>
      <c r="W18" s="66">
        <v>1.6666666666666667</v>
      </c>
      <c r="X18" s="74">
        <f t="shared" ref="X18:X22" si="4">V18/(1+$Y$16/4)^(W18)</f>
        <v>1231981.2555083965</v>
      </c>
    </row>
    <row r="19" spans="1:31" ht="18.75" x14ac:dyDescent="0.3">
      <c r="A19" s="56" t="s">
        <v>116</v>
      </c>
      <c r="B19" s="67">
        <v>43646</v>
      </c>
      <c r="C19" s="77">
        <v>-98000000</v>
      </c>
      <c r="I19" s="79">
        <v>11505</v>
      </c>
      <c r="J19" s="80">
        <v>3.5000000000000003E-2</v>
      </c>
      <c r="K19" s="78">
        <f>+J19/4</f>
        <v>8.7500000000000008E-3</v>
      </c>
      <c r="O19" s="66"/>
      <c r="P19" s="62">
        <v>43921</v>
      </c>
      <c r="Q19" s="63">
        <f t="shared" si="0"/>
        <v>1250000</v>
      </c>
      <c r="R19" s="66">
        <v>2.6666666666666665</v>
      </c>
      <c r="S19" s="74">
        <f>Q19/(1+$C$18)^(R19)</f>
        <v>1198121.5231965466</v>
      </c>
      <c r="U19" s="62">
        <v>43921</v>
      </c>
      <c r="V19" s="63">
        <f t="shared" si="2"/>
        <v>1250000</v>
      </c>
      <c r="W19" s="66">
        <v>2.6666666666666665</v>
      </c>
      <c r="X19" s="74">
        <f t="shared" si="4"/>
        <v>1221294.9249153871</v>
      </c>
      <c r="AE19" s="63"/>
    </row>
    <row r="20" spans="1:31" x14ac:dyDescent="0.25">
      <c r="B20" s="62">
        <v>43738</v>
      </c>
      <c r="C20" s="63">
        <f>$F$10*$F$11/4</f>
        <v>1250000</v>
      </c>
      <c r="I20" s="81">
        <v>11536</v>
      </c>
      <c r="J20" s="82">
        <v>0.04</v>
      </c>
      <c r="K20" s="78">
        <f t="shared" ref="K20:K24" si="5">+J20/4</f>
        <v>0.01</v>
      </c>
      <c r="O20" s="66"/>
      <c r="P20" s="62">
        <v>44012</v>
      </c>
      <c r="Q20" s="63">
        <f t="shared" si="0"/>
        <v>1250000</v>
      </c>
      <c r="R20" s="66">
        <v>3.6666666666666665</v>
      </c>
      <c r="S20" s="74">
        <f>Q20/(1+$C$18)^(R20)</f>
        <v>1179227.0730932027</v>
      </c>
      <c r="U20" s="62">
        <v>44012</v>
      </c>
      <c r="V20" s="63">
        <f t="shared" si="2"/>
        <v>1250000</v>
      </c>
      <c r="W20" s="66">
        <v>3.6666666666666665</v>
      </c>
      <c r="X20" s="74">
        <f t="shared" si="4"/>
        <v>1210701.2886397887</v>
      </c>
    </row>
    <row r="21" spans="1:31" x14ac:dyDescent="0.25">
      <c r="B21" s="62">
        <v>43830</v>
      </c>
      <c r="C21" s="63">
        <f t="shared" ref="C21:C24" si="6">$F$10*$F$11/4</f>
        <v>1250000</v>
      </c>
      <c r="I21" s="79">
        <v>11202</v>
      </c>
      <c r="J21" s="80">
        <v>4.4999999999999998E-2</v>
      </c>
      <c r="K21" s="78">
        <f t="shared" si="5"/>
        <v>1.125E-2</v>
      </c>
      <c r="O21" s="66"/>
      <c r="P21" s="62">
        <v>44104</v>
      </c>
      <c r="Q21" s="63">
        <f t="shared" si="0"/>
        <v>1250000</v>
      </c>
      <c r="R21" s="66">
        <v>4.666666666666667</v>
      </c>
      <c r="S21" s="74">
        <f t="shared" si="3"/>
        <v>1160630.5896299665</v>
      </c>
      <c r="U21" s="62">
        <v>44104</v>
      </c>
      <c r="V21" s="63">
        <f t="shared" si="2"/>
        <v>1250000</v>
      </c>
      <c r="W21" s="66">
        <v>4.666666666666667</v>
      </c>
      <c r="X21" s="74">
        <f t="shared" si="4"/>
        <v>1200199.5426416742</v>
      </c>
    </row>
    <row r="22" spans="1:31" x14ac:dyDescent="0.25">
      <c r="B22" s="62">
        <v>43921</v>
      </c>
      <c r="C22" s="63">
        <f t="shared" si="6"/>
        <v>1250000</v>
      </c>
      <c r="D22" s="64"/>
      <c r="I22" s="81">
        <v>11597</v>
      </c>
      <c r="J22" s="82">
        <v>4.7E-2</v>
      </c>
      <c r="K22" s="78">
        <f t="shared" si="5"/>
        <v>1.175E-2</v>
      </c>
      <c r="O22" s="66"/>
      <c r="P22" s="62">
        <v>44196</v>
      </c>
      <c r="Q22" s="63">
        <f>$F$10*$F$11/4+F$10</f>
        <v>101250000</v>
      </c>
      <c r="R22" s="66">
        <v>5.666666666666667</v>
      </c>
      <c r="S22" s="74">
        <f t="shared" si="3"/>
        <v>92528517.282222554</v>
      </c>
      <c r="U22" s="62">
        <v>44196</v>
      </c>
      <c r="V22" s="63">
        <f>$F$10*$F$11/4+$F$10</f>
        <v>101250000</v>
      </c>
      <c r="W22" s="66">
        <v>5.666666666666667</v>
      </c>
      <c r="X22" s="74">
        <f t="shared" si="4"/>
        <v>96372900.078290567</v>
      </c>
    </row>
    <row r="23" spans="1:31" ht="22.5" x14ac:dyDescent="0.25">
      <c r="B23" s="62">
        <v>44012</v>
      </c>
      <c r="C23" s="63">
        <f t="shared" si="6"/>
        <v>1250000</v>
      </c>
      <c r="I23" s="79">
        <v>11263</v>
      </c>
      <c r="J23" s="80">
        <v>4.2000000000000003E-2</v>
      </c>
      <c r="K23" s="78">
        <f t="shared" si="5"/>
        <v>1.0500000000000001E-2</v>
      </c>
      <c r="S23" s="83">
        <f>SUM(S17:S22)</f>
        <v>98520638.679113939</v>
      </c>
      <c r="X23" s="83">
        <f>SUM(X17:X22)</f>
        <v>102458735.47399272</v>
      </c>
    </row>
    <row r="24" spans="1:31" x14ac:dyDescent="0.25">
      <c r="B24" s="62">
        <v>44104</v>
      </c>
      <c r="C24" s="63">
        <f t="shared" si="6"/>
        <v>1250000</v>
      </c>
      <c r="I24" s="81">
        <v>11658</v>
      </c>
      <c r="J24" s="82">
        <v>0.04</v>
      </c>
      <c r="K24" s="78">
        <f t="shared" si="5"/>
        <v>0.01</v>
      </c>
    </row>
    <row r="25" spans="1:31" x14ac:dyDescent="0.25">
      <c r="B25" s="62">
        <v>44196</v>
      </c>
      <c r="C25" s="63">
        <v>101250000</v>
      </c>
      <c r="I25" s="59" t="s">
        <v>117</v>
      </c>
    </row>
    <row r="26" spans="1:31" x14ac:dyDescent="0.25">
      <c r="I26" s="59" t="s">
        <v>118</v>
      </c>
      <c r="P26" s="390" t="s">
        <v>58</v>
      </c>
      <c r="Q26" s="391"/>
      <c r="R26" s="391"/>
      <c r="S26" s="391"/>
      <c r="T26" s="103"/>
      <c r="U26" s="390" t="s">
        <v>59</v>
      </c>
      <c r="V26" s="391"/>
      <c r="W26" s="391"/>
      <c r="X26" s="391"/>
    </row>
    <row r="27" spans="1:31" ht="18.75" x14ac:dyDescent="0.25">
      <c r="B27" s="56" t="s">
        <v>80</v>
      </c>
      <c r="P27" s="60" t="s">
        <v>62</v>
      </c>
      <c r="Q27" s="60" t="s">
        <v>63</v>
      </c>
      <c r="R27" s="60" t="s">
        <v>64</v>
      </c>
      <c r="S27" s="60" t="s">
        <v>65</v>
      </c>
      <c r="T27" s="60"/>
      <c r="U27" s="60" t="s">
        <v>62</v>
      </c>
      <c r="V27" s="60" t="s">
        <v>63</v>
      </c>
      <c r="W27" s="60" t="s">
        <v>64</v>
      </c>
      <c r="X27" s="60" t="s">
        <v>65</v>
      </c>
    </row>
    <row r="28" spans="1:31" x14ac:dyDescent="0.25">
      <c r="B28" s="56" t="s">
        <v>81</v>
      </c>
      <c r="P28" s="62">
        <v>43190</v>
      </c>
      <c r="Q28" s="63">
        <v>-100000000</v>
      </c>
      <c r="R28" s="56">
        <v>0</v>
      </c>
      <c r="U28" s="62">
        <v>43190</v>
      </c>
      <c r="V28" s="63">
        <v>-100000000</v>
      </c>
      <c r="W28" s="56">
        <v>0</v>
      </c>
    </row>
    <row r="29" spans="1:31" x14ac:dyDescent="0.25">
      <c r="P29" s="62">
        <v>43281</v>
      </c>
      <c r="Q29" s="63">
        <f>$F$10*$F$11/4</f>
        <v>1250000</v>
      </c>
      <c r="R29" s="66"/>
      <c r="U29" s="62">
        <v>43281</v>
      </c>
      <c r="V29" s="63">
        <f>$F$10*$F$11/4</f>
        <v>1250000</v>
      </c>
    </row>
    <row r="30" spans="1:31" x14ac:dyDescent="0.25">
      <c r="B30" s="56" t="s">
        <v>82</v>
      </c>
      <c r="P30" s="62">
        <v>43373</v>
      </c>
      <c r="Q30" s="63">
        <f t="shared" ref="Q30:Q38" si="7">$F$10*$F$11/4</f>
        <v>1250000</v>
      </c>
      <c r="R30" s="66"/>
      <c r="U30" s="62">
        <v>43373</v>
      </c>
      <c r="V30" s="63">
        <f t="shared" ref="V30:V38" si="8">$F$10*$F$11/4</f>
        <v>1250000</v>
      </c>
    </row>
    <row r="31" spans="1:31" x14ac:dyDescent="0.25">
      <c r="B31" s="56" t="s">
        <v>83</v>
      </c>
      <c r="P31" s="62">
        <v>43465</v>
      </c>
      <c r="Q31" s="63">
        <f t="shared" si="7"/>
        <v>1250000</v>
      </c>
      <c r="R31" s="66"/>
      <c r="U31" s="62">
        <v>43465</v>
      </c>
      <c r="V31" s="63">
        <f t="shared" si="8"/>
        <v>1250000</v>
      </c>
    </row>
    <row r="32" spans="1:31" x14ac:dyDescent="0.25">
      <c r="B32" s="56" t="s">
        <v>84</v>
      </c>
      <c r="P32" s="62">
        <v>43555</v>
      </c>
      <c r="Q32" s="63">
        <f t="shared" si="7"/>
        <v>1250000</v>
      </c>
      <c r="R32" s="66"/>
      <c r="U32" s="62">
        <v>43555</v>
      </c>
      <c r="V32" s="63">
        <f t="shared" si="8"/>
        <v>1250000</v>
      </c>
    </row>
    <row r="33" spans="2:26" x14ac:dyDescent="0.25">
      <c r="P33" s="62">
        <v>43646</v>
      </c>
      <c r="Q33" s="63">
        <f t="shared" si="7"/>
        <v>1250000</v>
      </c>
      <c r="R33" s="66"/>
      <c r="U33" s="62">
        <v>43646</v>
      </c>
      <c r="V33" s="63">
        <f t="shared" si="8"/>
        <v>1250000</v>
      </c>
    </row>
    <row r="34" spans="2:26" ht="18.75" x14ac:dyDescent="0.3">
      <c r="N34" s="56" t="s">
        <v>119</v>
      </c>
      <c r="P34" s="67">
        <v>43738</v>
      </c>
      <c r="Q34" s="68">
        <f t="shared" si="7"/>
        <v>1250000</v>
      </c>
      <c r="R34" s="69"/>
      <c r="S34" s="74"/>
      <c r="T34" s="71"/>
      <c r="U34" s="67">
        <v>43738</v>
      </c>
      <c r="V34" s="68">
        <f t="shared" si="8"/>
        <v>1250000</v>
      </c>
      <c r="W34" s="69"/>
      <c r="X34" s="74"/>
      <c r="Y34" s="72">
        <v>4.4999999999999998E-2</v>
      </c>
      <c r="Z34" s="59" t="s">
        <v>77</v>
      </c>
    </row>
    <row r="35" spans="2:26" x14ac:dyDescent="0.25">
      <c r="P35" s="62">
        <v>43830</v>
      </c>
      <c r="Q35" s="63">
        <f t="shared" si="7"/>
        <v>1250000</v>
      </c>
      <c r="R35" s="84">
        <v>1</v>
      </c>
      <c r="S35" s="74">
        <f>Q35/(1+$C$18)^(R35)</f>
        <v>1230287.4231270233</v>
      </c>
      <c r="U35" s="62">
        <v>43830</v>
      </c>
      <c r="V35" s="63">
        <f t="shared" si="8"/>
        <v>1250000</v>
      </c>
      <c r="W35" s="84">
        <v>1</v>
      </c>
      <c r="X35" s="74">
        <f>V35/(1+$Y$34/4)^(W35)</f>
        <v>1236093.9431396786</v>
      </c>
    </row>
    <row r="36" spans="2:26" x14ac:dyDescent="0.25">
      <c r="P36" s="62">
        <v>43921</v>
      </c>
      <c r="Q36" s="63">
        <f t="shared" si="7"/>
        <v>1250000</v>
      </c>
      <c r="R36" s="84">
        <v>2</v>
      </c>
      <c r="S36" s="74">
        <f t="shared" ref="S36:S39" si="9">Q36/(1+$C$18)^(R36)</f>
        <v>1210885.7148036251</v>
      </c>
      <c r="U36" s="62">
        <v>43921</v>
      </c>
      <c r="V36" s="63">
        <f t="shared" si="8"/>
        <v>1250000</v>
      </c>
      <c r="W36" s="84">
        <v>2</v>
      </c>
      <c r="X36" s="74">
        <f t="shared" ref="X36:X39" si="10">V36/(1+$Y$34/4)^(W36)</f>
        <v>1222342.5890132792</v>
      </c>
    </row>
    <row r="37" spans="2:26" x14ac:dyDescent="0.25">
      <c r="B37" s="56" t="s">
        <v>85</v>
      </c>
      <c r="C37" s="56" t="s">
        <v>86</v>
      </c>
      <c r="P37" s="62">
        <v>44012</v>
      </c>
      <c r="Q37" s="63">
        <f t="shared" si="7"/>
        <v>1250000</v>
      </c>
      <c r="R37" s="84">
        <v>3</v>
      </c>
      <c r="S37" s="74">
        <f t="shared" si="9"/>
        <v>1191789.9726136604</v>
      </c>
      <c r="U37" s="62">
        <v>44012</v>
      </c>
      <c r="V37" s="63">
        <f t="shared" si="8"/>
        <v>1250000</v>
      </c>
      <c r="W37" s="84">
        <v>3</v>
      </c>
      <c r="X37" s="74">
        <f t="shared" si="10"/>
        <v>1208744.2165767904</v>
      </c>
    </row>
    <row r="38" spans="2:26" x14ac:dyDescent="0.25">
      <c r="C38" s="56" t="s">
        <v>87</v>
      </c>
      <c r="P38" s="62">
        <v>44104</v>
      </c>
      <c r="Q38" s="63">
        <f t="shared" si="7"/>
        <v>1250000</v>
      </c>
      <c r="R38" s="84">
        <v>4</v>
      </c>
      <c r="S38" s="74">
        <f t="shared" si="9"/>
        <v>1172995.3714523888</v>
      </c>
      <c r="U38" s="62">
        <v>44104</v>
      </c>
      <c r="V38" s="63">
        <f t="shared" si="8"/>
        <v>1250000</v>
      </c>
      <c r="W38" s="84">
        <v>4</v>
      </c>
      <c r="X38" s="74">
        <f t="shared" si="10"/>
        <v>1195297.1239325493</v>
      </c>
    </row>
    <row r="39" spans="2:26" x14ac:dyDescent="0.25">
      <c r="C39" s="56" t="s">
        <v>88</v>
      </c>
      <c r="P39" s="62">
        <v>44196</v>
      </c>
      <c r="Q39" s="63">
        <f>$F$10*$F$11/4+F$10</f>
        <v>101250000</v>
      </c>
      <c r="R39" s="84">
        <v>5</v>
      </c>
      <c r="S39" s="74">
        <f t="shared" si="9"/>
        <v>93514270.146888718</v>
      </c>
      <c r="U39" s="62">
        <v>44196</v>
      </c>
      <c r="V39" s="63">
        <f>$F$10*$F$11/4+$F$10</f>
        <v>101250000</v>
      </c>
      <c r="W39" s="84">
        <v>5</v>
      </c>
      <c r="X39" s="74">
        <f t="shared" si="10"/>
        <v>95741969.877415568</v>
      </c>
    </row>
    <row r="40" spans="2:26" ht="22.5" x14ac:dyDescent="0.25">
      <c r="C40" s="56" t="s">
        <v>89</v>
      </c>
      <c r="S40" s="85">
        <f>SUM(S34:S39)</f>
        <v>98320228.628885418</v>
      </c>
      <c r="X40" s="85">
        <f>SUM(X34:X39)</f>
        <v>100604447.75007786</v>
      </c>
    </row>
    <row r="41" spans="2:26" x14ac:dyDescent="0.25">
      <c r="C41" s="56" t="s">
        <v>90</v>
      </c>
      <c r="P41" s="86" t="s">
        <v>91</v>
      </c>
      <c r="Q41" s="87"/>
      <c r="R41" s="87"/>
      <c r="S41" s="87"/>
    </row>
    <row r="42" spans="2:26" x14ac:dyDescent="0.25">
      <c r="P42" s="390" t="s">
        <v>58</v>
      </c>
      <c r="Q42" s="391"/>
      <c r="R42" s="391"/>
      <c r="S42" s="391"/>
      <c r="T42" s="103"/>
      <c r="U42" s="390" t="s">
        <v>59</v>
      </c>
      <c r="V42" s="391"/>
      <c r="W42" s="391"/>
      <c r="X42" s="391"/>
    </row>
    <row r="43" spans="2:26" ht="20.25" x14ac:dyDescent="0.3">
      <c r="B43" s="122" t="s">
        <v>120</v>
      </c>
      <c r="P43" s="60" t="s">
        <v>62</v>
      </c>
      <c r="Q43" s="60" t="s">
        <v>63</v>
      </c>
      <c r="R43" s="60" t="s">
        <v>64</v>
      </c>
      <c r="S43" s="60" t="s">
        <v>65</v>
      </c>
      <c r="T43" s="60"/>
      <c r="U43" s="60" t="s">
        <v>62</v>
      </c>
      <c r="V43" s="60" t="s">
        <v>63</v>
      </c>
      <c r="W43" s="60" t="s">
        <v>64</v>
      </c>
      <c r="X43" s="60" t="s">
        <v>65</v>
      </c>
    </row>
    <row r="44" spans="2:26" x14ac:dyDescent="0.25">
      <c r="P44" s="62">
        <v>43190</v>
      </c>
      <c r="Q44" s="63">
        <v>-100000000</v>
      </c>
      <c r="R44" s="56">
        <v>0</v>
      </c>
      <c r="U44" s="62">
        <v>43190</v>
      </c>
      <c r="V44" s="63">
        <v>-100000000</v>
      </c>
      <c r="W44" s="56">
        <v>0</v>
      </c>
    </row>
    <row r="45" spans="2:26" x14ac:dyDescent="0.25">
      <c r="P45" s="62">
        <v>43281</v>
      </c>
      <c r="Q45" s="63">
        <f>$F$10*$F$11/4</f>
        <v>1250000</v>
      </c>
      <c r="R45" s="66"/>
      <c r="U45" s="62">
        <v>43281</v>
      </c>
      <c r="V45" s="63">
        <f>$F$10*$F$11/4</f>
        <v>1250000</v>
      </c>
    </row>
    <row r="46" spans="2:26" x14ac:dyDescent="0.25">
      <c r="P46" s="62">
        <v>43373</v>
      </c>
      <c r="Q46" s="63">
        <f t="shared" ref="Q46:Q55" si="11">$F$10*$F$11/4</f>
        <v>1250000</v>
      </c>
      <c r="R46" s="66"/>
      <c r="U46" s="62">
        <v>43373</v>
      </c>
      <c r="V46" s="63">
        <f t="shared" ref="V46:V55" si="12">$F$10*$F$11/4</f>
        <v>1250000</v>
      </c>
    </row>
    <row r="47" spans="2:26" x14ac:dyDescent="0.25">
      <c r="P47" s="62">
        <v>43465</v>
      </c>
      <c r="Q47" s="63">
        <f t="shared" si="11"/>
        <v>1250000</v>
      </c>
      <c r="R47" s="66"/>
      <c r="U47" s="62">
        <v>43465</v>
      </c>
      <c r="V47" s="63">
        <f t="shared" si="12"/>
        <v>1250000</v>
      </c>
    </row>
    <row r="48" spans="2:26" x14ac:dyDescent="0.25">
      <c r="P48" s="62">
        <v>43555</v>
      </c>
      <c r="Q48" s="63">
        <f t="shared" si="11"/>
        <v>1250000</v>
      </c>
      <c r="R48" s="66"/>
      <c r="U48" s="62">
        <v>43555</v>
      </c>
      <c r="V48" s="63">
        <f t="shared" si="12"/>
        <v>1250000</v>
      </c>
    </row>
    <row r="49" spans="2:26" x14ac:dyDescent="0.25">
      <c r="P49" s="62">
        <v>43646</v>
      </c>
      <c r="Q49" s="63">
        <f t="shared" si="11"/>
        <v>1250000</v>
      </c>
      <c r="R49" s="66"/>
      <c r="U49" s="62">
        <v>43646</v>
      </c>
      <c r="V49" s="63">
        <f t="shared" si="12"/>
        <v>1250000</v>
      </c>
    </row>
    <row r="50" spans="2:26" x14ac:dyDescent="0.25">
      <c r="B50" s="59" t="s">
        <v>121</v>
      </c>
      <c r="P50" s="62">
        <v>43738</v>
      </c>
      <c r="Q50" s="63">
        <f t="shared" si="11"/>
        <v>1250000</v>
      </c>
      <c r="R50" s="66"/>
      <c r="U50" s="62">
        <v>43738</v>
      </c>
      <c r="V50" s="63">
        <f t="shared" si="12"/>
        <v>1250000</v>
      </c>
    </row>
    <row r="51" spans="2:26" ht="18.75" x14ac:dyDescent="0.3">
      <c r="P51" s="67">
        <v>43799</v>
      </c>
      <c r="Q51" s="68"/>
      <c r="R51" s="69"/>
      <c r="S51" s="70"/>
      <c r="T51" s="71"/>
      <c r="U51" s="67">
        <v>43799</v>
      </c>
      <c r="V51" s="68"/>
      <c r="W51" s="69"/>
      <c r="X51" s="70"/>
      <c r="Y51" s="72">
        <v>4.2000000000000003E-2</v>
      </c>
      <c r="Z51" s="59" t="s">
        <v>77</v>
      </c>
    </row>
    <row r="52" spans="2:26" ht="20.25" x14ac:dyDescent="0.3">
      <c r="B52" s="75" t="s">
        <v>79</v>
      </c>
      <c r="C52" s="76">
        <f>+B63</f>
        <v>1.7377848178148272E-2</v>
      </c>
      <c r="P52" s="62">
        <v>43830</v>
      </c>
      <c r="Q52" s="63">
        <f t="shared" si="11"/>
        <v>1250000</v>
      </c>
      <c r="R52" s="66">
        <v>0.33333333333333331</v>
      </c>
      <c r="S52" s="74">
        <f t="shared" ref="S52:S56" si="13">Q52/(1+$C$18)^(R52)</f>
        <v>1243394.2942553177</v>
      </c>
      <c r="U52" s="62">
        <v>43830</v>
      </c>
      <c r="V52" s="63">
        <f t="shared" si="12"/>
        <v>1250000</v>
      </c>
      <c r="W52" s="66">
        <v>0.33333333333333331</v>
      </c>
      <c r="X52" s="74">
        <f>V52/(1+$Y$51/4)^(W52)</f>
        <v>1245655.3770645144</v>
      </c>
    </row>
    <row r="53" spans="2:26" ht="18.75" x14ac:dyDescent="0.3">
      <c r="B53" s="67">
        <v>43677</v>
      </c>
      <c r="C53" s="77">
        <v>-98000000</v>
      </c>
      <c r="P53" s="62">
        <v>43921</v>
      </c>
      <c r="Q53" s="63">
        <f t="shared" si="11"/>
        <v>1250000</v>
      </c>
      <c r="R53" s="66">
        <v>1.3333333333333333</v>
      </c>
      <c r="S53" s="74">
        <f t="shared" si="13"/>
        <v>1223785.8897681748</v>
      </c>
      <c r="U53" s="62">
        <v>43921</v>
      </c>
      <c r="V53" s="63">
        <f t="shared" si="12"/>
        <v>1250000</v>
      </c>
      <c r="W53" s="66">
        <v>1.3333333333333333</v>
      </c>
      <c r="X53" s="74">
        <f t="shared" ref="X53:X56" si="14">V53/(1+$Y$51/4)^(W53)</f>
        <v>1232711.9020925427</v>
      </c>
    </row>
    <row r="54" spans="2:26" x14ac:dyDescent="0.25">
      <c r="B54" s="62">
        <v>43738</v>
      </c>
      <c r="C54" s="63">
        <f>$F$10*$F$11/4</f>
        <v>1250000</v>
      </c>
      <c r="P54" s="62">
        <v>44012</v>
      </c>
      <c r="Q54" s="63">
        <f t="shared" si="11"/>
        <v>1250000</v>
      </c>
      <c r="R54" s="66">
        <v>2.3333333333333335</v>
      </c>
      <c r="S54" s="74">
        <f t="shared" si="13"/>
        <v>1204486.7110256793</v>
      </c>
      <c r="U54" s="62">
        <v>44012</v>
      </c>
      <c r="V54" s="63">
        <f t="shared" si="12"/>
        <v>1250000</v>
      </c>
      <c r="W54" s="66">
        <v>2.3333333333333335</v>
      </c>
      <c r="X54" s="74">
        <f t="shared" si="14"/>
        <v>1219902.9214176575</v>
      </c>
    </row>
    <row r="55" spans="2:26" x14ac:dyDescent="0.25">
      <c r="B55" s="62">
        <v>43830</v>
      </c>
      <c r="C55" s="63">
        <f t="shared" ref="C55:C58" si="15">$F$10*$F$11/4</f>
        <v>1250000</v>
      </c>
      <c r="P55" s="62">
        <v>44104</v>
      </c>
      <c r="Q55" s="63">
        <f t="shared" si="11"/>
        <v>1250000</v>
      </c>
      <c r="R55" s="66">
        <v>3.3333333333333335</v>
      </c>
      <c r="S55" s="74">
        <f t="shared" si="13"/>
        <v>1185491.8815188212</v>
      </c>
      <c r="U55" s="62">
        <v>44104</v>
      </c>
      <c r="V55" s="63">
        <f t="shared" si="12"/>
        <v>1250000</v>
      </c>
      <c r="W55" s="66">
        <v>3.3333333333333335</v>
      </c>
      <c r="X55" s="74">
        <f t="shared" si="14"/>
        <v>1207227.0375236589</v>
      </c>
    </row>
    <row r="56" spans="2:26" x14ac:dyDescent="0.25">
      <c r="B56" s="62">
        <v>43921</v>
      </c>
      <c r="C56" s="63">
        <f t="shared" si="15"/>
        <v>1250000</v>
      </c>
      <c r="P56" s="62">
        <v>44196</v>
      </c>
      <c r="Q56" s="63">
        <f>$F$10*$F$11/4+F$10</f>
        <v>101250000</v>
      </c>
      <c r="R56" s="66">
        <v>4.333333333333333</v>
      </c>
      <c r="S56" s="74">
        <f t="shared" si="13"/>
        <v>94510524.732956454</v>
      </c>
      <c r="U56" s="62">
        <v>44196</v>
      </c>
      <c r="V56" s="63">
        <f>$F$10*$F$11/4+$F$10</f>
        <v>101250000</v>
      </c>
      <c r="W56" s="66">
        <v>4.333333333333333</v>
      </c>
      <c r="X56" s="74">
        <f t="shared" si="14"/>
        <v>96769312.26067926</v>
      </c>
    </row>
    <row r="57" spans="2:26" ht="22.5" x14ac:dyDescent="0.25">
      <c r="B57" s="62">
        <v>44012</v>
      </c>
      <c r="C57" s="63">
        <f t="shared" si="15"/>
        <v>1250000</v>
      </c>
      <c r="S57" s="83">
        <f>SUM(S51:S56)</f>
        <v>99367683.50952445</v>
      </c>
      <c r="X57" s="83">
        <f>SUM(X51:X56)</f>
        <v>101674809.49877763</v>
      </c>
    </row>
    <row r="58" spans="2:26" x14ac:dyDescent="0.25">
      <c r="B58" s="62">
        <v>44104</v>
      </c>
      <c r="C58" s="63">
        <f t="shared" si="15"/>
        <v>1250000</v>
      </c>
    </row>
    <row r="59" spans="2:26" x14ac:dyDescent="0.25">
      <c r="B59" s="62">
        <v>44196</v>
      </c>
      <c r="C59" s="63">
        <v>101250000</v>
      </c>
    </row>
    <row r="61" spans="2:26" x14ac:dyDescent="0.25">
      <c r="B61" s="56" t="s">
        <v>122</v>
      </c>
      <c r="U61" s="390" t="s">
        <v>59</v>
      </c>
      <c r="V61" s="391"/>
      <c r="W61" s="391"/>
      <c r="X61" s="391"/>
    </row>
    <row r="62" spans="2:26" ht="18.75" x14ac:dyDescent="0.25">
      <c r="B62" s="123">
        <f>+XIRR(C53:C59,B53:B59,)</f>
        <v>6.9511392712593087E-2</v>
      </c>
      <c r="C62" s="56" t="s">
        <v>123</v>
      </c>
      <c r="U62" s="60" t="s">
        <v>62</v>
      </c>
      <c r="V62" s="60" t="s">
        <v>63</v>
      </c>
      <c r="W62" s="60" t="s">
        <v>64</v>
      </c>
      <c r="X62" s="60" t="s">
        <v>65</v>
      </c>
    </row>
    <row r="63" spans="2:26" x14ac:dyDescent="0.25">
      <c r="B63" s="124">
        <f>+B62/4</f>
        <v>1.7377848178148272E-2</v>
      </c>
      <c r="C63" s="56" t="s">
        <v>124</v>
      </c>
      <c r="U63" s="62">
        <v>43190</v>
      </c>
      <c r="V63" s="63">
        <v>-100000000</v>
      </c>
      <c r="W63" s="56">
        <v>0</v>
      </c>
    </row>
    <row r="64" spans="2:26" x14ac:dyDescent="0.25">
      <c r="U64" s="62">
        <v>43281</v>
      </c>
      <c r="V64" s="63">
        <f>$F$10*$F$11/4</f>
        <v>1250000</v>
      </c>
    </row>
    <row r="65" spans="21:26" x14ac:dyDescent="0.25">
      <c r="U65" s="62">
        <v>43373</v>
      </c>
      <c r="V65" s="63">
        <f t="shared" ref="V65:V74" si="16">$F$10*$F$11/4</f>
        <v>1250000</v>
      </c>
    </row>
    <row r="66" spans="21:26" x14ac:dyDescent="0.25">
      <c r="U66" s="62">
        <v>43465</v>
      </c>
      <c r="V66" s="63">
        <f t="shared" si="16"/>
        <v>1250000</v>
      </c>
    </row>
    <row r="67" spans="21:26" x14ac:dyDescent="0.25">
      <c r="U67" s="62">
        <v>43555</v>
      </c>
      <c r="V67" s="63">
        <f t="shared" si="16"/>
        <v>1250000</v>
      </c>
    </row>
    <row r="68" spans="21:26" x14ac:dyDescent="0.25">
      <c r="U68" s="62">
        <v>43646</v>
      </c>
      <c r="V68" s="63">
        <f t="shared" si="16"/>
        <v>1250000</v>
      </c>
    </row>
    <row r="69" spans="21:26" x14ac:dyDescent="0.25">
      <c r="U69" s="62">
        <v>43738</v>
      </c>
      <c r="V69" s="63">
        <f t="shared" si="16"/>
        <v>1250000</v>
      </c>
    </row>
    <row r="70" spans="21:26" ht="18.75" x14ac:dyDescent="0.3">
      <c r="U70" s="67">
        <v>43799</v>
      </c>
      <c r="V70" s="68"/>
      <c r="W70" s="69"/>
      <c r="X70" s="70"/>
      <c r="Y70" s="72">
        <v>0.05</v>
      </c>
      <c r="Z70" s="59" t="s">
        <v>77</v>
      </c>
    </row>
    <row r="71" spans="21:26" x14ac:dyDescent="0.25">
      <c r="U71" s="62">
        <v>43830</v>
      </c>
      <c r="V71" s="63">
        <f t="shared" si="16"/>
        <v>1250000</v>
      </c>
      <c r="W71" s="66">
        <v>0.33333333333333331</v>
      </c>
      <c r="X71" s="74">
        <f>V71/(1+$Y$70/4)^(W71)</f>
        <v>1244834.6518214345</v>
      </c>
    </row>
    <row r="72" spans="21:26" x14ac:dyDescent="0.25">
      <c r="U72" s="62">
        <v>43921</v>
      </c>
      <c r="V72" s="63">
        <f t="shared" si="16"/>
        <v>1250000</v>
      </c>
      <c r="W72" s="66">
        <v>1.3333333333333333</v>
      </c>
      <c r="X72" s="74">
        <f t="shared" ref="X72:X74" si="17">V72/(1+$Y$70/4)^(W72)</f>
        <v>1229466.3227866022</v>
      </c>
    </row>
    <row r="73" spans="21:26" x14ac:dyDescent="0.25">
      <c r="U73" s="62">
        <v>44012</v>
      </c>
      <c r="V73" s="63">
        <f t="shared" si="16"/>
        <v>1250000</v>
      </c>
      <c r="W73" s="66">
        <v>2.3333333333333335</v>
      </c>
      <c r="X73" s="74">
        <f t="shared" si="17"/>
        <v>1214287.72620899</v>
      </c>
    </row>
    <row r="74" spans="21:26" x14ac:dyDescent="0.25">
      <c r="U74" s="62">
        <v>44104</v>
      </c>
      <c r="V74" s="63">
        <f t="shared" si="16"/>
        <v>1250000</v>
      </c>
      <c r="W74" s="66">
        <v>3.3333333333333335</v>
      </c>
      <c r="X74" s="74">
        <f t="shared" si="17"/>
        <v>1199296.5197125827</v>
      </c>
    </row>
    <row r="75" spans="21:26" x14ac:dyDescent="0.25">
      <c r="U75" s="62">
        <v>44196</v>
      </c>
      <c r="V75" s="63">
        <f>$F$10*$F$11/4+$F$10</f>
        <v>101250000</v>
      </c>
      <c r="W75" s="66">
        <v>4.333333333333333</v>
      </c>
      <c r="X75" s="74">
        <f>V75/(1+$Y$70/4)^(W75)</f>
        <v>95943721.577006623</v>
      </c>
    </row>
    <row r="76" spans="21:26" ht="22.5" x14ac:dyDescent="0.25">
      <c r="X76" s="83">
        <f>SUM(X70:X75)</f>
        <v>100831606.79753624</v>
      </c>
    </row>
    <row r="79" spans="21:26" x14ac:dyDescent="0.25">
      <c r="U79" s="390" t="s">
        <v>59</v>
      </c>
      <c r="V79" s="391"/>
      <c r="W79" s="391"/>
      <c r="X79" s="391"/>
    </row>
    <row r="80" spans="21:26" ht="18.75" x14ac:dyDescent="0.25">
      <c r="U80" s="60" t="s">
        <v>62</v>
      </c>
      <c r="V80" s="60" t="s">
        <v>63</v>
      </c>
      <c r="W80" s="60" t="s">
        <v>64</v>
      </c>
      <c r="X80" s="60" t="s">
        <v>65</v>
      </c>
    </row>
    <row r="81" spans="21:26" x14ac:dyDescent="0.25">
      <c r="U81" s="62">
        <v>43190</v>
      </c>
      <c r="V81" s="63">
        <v>-100000000</v>
      </c>
      <c r="W81" s="56">
        <v>0</v>
      </c>
    </row>
    <row r="82" spans="21:26" x14ac:dyDescent="0.25">
      <c r="U82" s="62">
        <v>43281</v>
      </c>
      <c r="V82" s="63">
        <f>$F$10*$F$11/4</f>
        <v>1250000</v>
      </c>
    </row>
    <row r="83" spans="21:26" x14ac:dyDescent="0.25">
      <c r="U83" s="62">
        <v>43373</v>
      </c>
      <c r="V83" s="63">
        <f t="shared" ref="V83:V92" si="18">$F$10*$F$11/4</f>
        <v>1250000</v>
      </c>
    </row>
    <row r="84" spans="21:26" x14ac:dyDescent="0.25">
      <c r="U84" s="62">
        <v>43465</v>
      </c>
      <c r="V84" s="63">
        <f t="shared" si="18"/>
        <v>1250000</v>
      </c>
    </row>
    <row r="85" spans="21:26" x14ac:dyDescent="0.25">
      <c r="U85" s="62">
        <v>43555</v>
      </c>
      <c r="V85" s="63">
        <f t="shared" si="18"/>
        <v>1250000</v>
      </c>
    </row>
    <row r="86" spans="21:26" x14ac:dyDescent="0.25">
      <c r="U86" s="62">
        <v>43646</v>
      </c>
      <c r="V86" s="63">
        <f t="shared" si="18"/>
        <v>1250000</v>
      </c>
    </row>
    <row r="87" spans="21:26" x14ac:dyDescent="0.25">
      <c r="U87" s="62">
        <v>43738</v>
      </c>
      <c r="V87" s="63">
        <f t="shared" si="18"/>
        <v>1250000</v>
      </c>
    </row>
    <row r="88" spans="21:26" ht="18.75" x14ac:dyDescent="0.3">
      <c r="U88" s="67">
        <v>43799</v>
      </c>
      <c r="V88" s="68"/>
      <c r="W88" s="69"/>
      <c r="X88" s="70"/>
      <c r="Y88" s="72">
        <v>3.9E-2</v>
      </c>
      <c r="Z88" s="59" t="s">
        <v>77</v>
      </c>
    </row>
    <row r="89" spans="21:26" x14ac:dyDescent="0.25">
      <c r="U89" s="62">
        <v>43830</v>
      </c>
      <c r="V89" s="63">
        <f t="shared" si="18"/>
        <v>1250000</v>
      </c>
      <c r="W89" s="66">
        <v>0.33333333333333331</v>
      </c>
      <c r="X89" s="74">
        <f>V89/(1+$Y$88/4)^(W89)</f>
        <v>1245963.7076159841</v>
      </c>
    </row>
    <row r="90" spans="21:26" x14ac:dyDescent="0.25">
      <c r="U90" s="62">
        <v>43921</v>
      </c>
      <c r="V90" s="63">
        <f t="shared" si="18"/>
        <v>1250000</v>
      </c>
      <c r="W90" s="66">
        <v>1.3333333333333333</v>
      </c>
      <c r="X90" s="74">
        <f t="shared" ref="X90:X93" si="19">V90/(1+$Y$88/4)^(W90)</f>
        <v>1233932.8622094421</v>
      </c>
    </row>
    <row r="91" spans="21:26" x14ac:dyDescent="0.25">
      <c r="U91" s="62">
        <v>44012</v>
      </c>
      <c r="V91" s="63">
        <f t="shared" si="18"/>
        <v>1250000</v>
      </c>
      <c r="W91" s="66">
        <v>2.3333333333333335</v>
      </c>
      <c r="X91" s="74">
        <f t="shared" si="19"/>
        <v>1222018.1849066028</v>
      </c>
    </row>
    <row r="92" spans="21:26" x14ac:dyDescent="0.25">
      <c r="U92" s="62">
        <v>44104</v>
      </c>
      <c r="V92" s="63">
        <f t="shared" si="18"/>
        <v>1250000</v>
      </c>
      <c r="W92" s="66">
        <v>3.3333333333333335</v>
      </c>
      <c r="X92" s="74">
        <f t="shared" si="19"/>
        <v>1210218.5540050538</v>
      </c>
    </row>
    <row r="93" spans="21:26" x14ac:dyDescent="0.25">
      <c r="U93" s="62">
        <v>44196</v>
      </c>
      <c r="V93" s="63">
        <f>$F$10*$F$11/4+$F$10</f>
        <v>101250000</v>
      </c>
      <c r="W93" s="66">
        <v>4.333333333333333</v>
      </c>
      <c r="X93" s="74">
        <f t="shared" si="19"/>
        <v>97081161.549303651</v>
      </c>
    </row>
    <row r="94" spans="21:26" ht="22.5" x14ac:dyDescent="0.25">
      <c r="X94" s="83">
        <f>SUM(X88:X93)</f>
        <v>101993294.85804074</v>
      </c>
    </row>
    <row r="96" spans="21:26" x14ac:dyDescent="0.25">
      <c r="U96" s="59" t="s">
        <v>92</v>
      </c>
      <c r="V96" s="88" t="s">
        <v>93</v>
      </c>
      <c r="W96" s="88" t="s">
        <v>94</v>
      </c>
    </row>
    <row r="97" spans="21:24" x14ac:dyDescent="0.25">
      <c r="U97" s="59" t="s">
        <v>95</v>
      </c>
      <c r="V97" s="80">
        <f>Y51</f>
        <v>4.2000000000000003E-2</v>
      </c>
      <c r="W97" s="89">
        <f>X57</f>
        <v>101674809.49877763</v>
      </c>
    </row>
    <row r="98" spans="21:24" x14ac:dyDescent="0.25">
      <c r="U98" s="59" t="s">
        <v>96</v>
      </c>
      <c r="V98" s="80">
        <f>Y70</f>
        <v>0.05</v>
      </c>
      <c r="W98" s="89">
        <f>X76</f>
        <v>100831606.79753624</v>
      </c>
      <c r="X98" s="78">
        <f>+(Tabla1[[#This Row],[Valoración]]-W97)/W97</f>
        <v>-8.2931328359314629E-3</v>
      </c>
    </row>
    <row r="99" spans="21:24" x14ac:dyDescent="0.25">
      <c r="U99" s="59" t="s">
        <v>97</v>
      </c>
      <c r="V99" s="80">
        <f>Y88</f>
        <v>3.9E-2</v>
      </c>
      <c r="W99" s="89">
        <f>X94</f>
        <v>101993294.85804074</v>
      </c>
      <c r="X99" s="78">
        <f>+(Tabla1[[#This Row],[Valoración]]-W97)/W97</f>
        <v>3.1323919939769953E-3</v>
      </c>
    </row>
    <row r="104" spans="21:24" x14ac:dyDescent="0.25">
      <c r="U104" s="390" t="s">
        <v>59</v>
      </c>
      <c r="V104" s="391"/>
      <c r="W104" s="391"/>
      <c r="X104" s="391"/>
    </row>
    <row r="105" spans="21:24" ht="18.75" x14ac:dyDescent="0.25">
      <c r="U105" s="60" t="s">
        <v>62</v>
      </c>
      <c r="V105" s="60" t="s">
        <v>63</v>
      </c>
      <c r="W105" s="60" t="s">
        <v>64</v>
      </c>
      <c r="X105" s="60" t="s">
        <v>65</v>
      </c>
    </row>
    <row r="106" spans="21:24" x14ac:dyDescent="0.25">
      <c r="U106" s="62">
        <v>43190</v>
      </c>
      <c r="V106" s="63">
        <v>-100000000</v>
      </c>
      <c r="W106" s="56">
        <v>0</v>
      </c>
    </row>
    <row r="107" spans="21:24" x14ac:dyDescent="0.25">
      <c r="U107" s="62">
        <v>43281</v>
      </c>
      <c r="V107" s="63">
        <f>$F$10*$F$11/4</f>
        <v>1250000</v>
      </c>
    </row>
    <row r="108" spans="21:24" x14ac:dyDescent="0.25">
      <c r="U108" s="62">
        <v>43373</v>
      </c>
      <c r="V108" s="63">
        <f t="shared" ref="V108:V121" si="20">$F$10*$F$11/4</f>
        <v>1250000</v>
      </c>
    </row>
    <row r="109" spans="21:24" x14ac:dyDescent="0.25">
      <c r="U109" s="62">
        <v>43465</v>
      </c>
      <c r="V109" s="63">
        <f t="shared" si="20"/>
        <v>1250000</v>
      </c>
    </row>
    <row r="110" spans="21:24" x14ac:dyDescent="0.25">
      <c r="U110" s="62">
        <v>43555</v>
      </c>
      <c r="V110" s="63">
        <f t="shared" si="20"/>
        <v>1250000</v>
      </c>
    </row>
    <row r="111" spans="21:24" x14ac:dyDescent="0.25">
      <c r="U111" s="62">
        <v>43646</v>
      </c>
      <c r="V111" s="63">
        <f t="shared" si="20"/>
        <v>1250000</v>
      </c>
    </row>
    <row r="112" spans="21:24" x14ac:dyDescent="0.25">
      <c r="U112" s="62">
        <v>43738</v>
      </c>
      <c r="V112" s="63">
        <f t="shared" si="20"/>
        <v>1250000</v>
      </c>
    </row>
    <row r="113" spans="21:26" ht="18.75" x14ac:dyDescent="0.3">
      <c r="U113" s="67">
        <v>43799</v>
      </c>
      <c r="V113" s="68"/>
      <c r="W113" s="69"/>
      <c r="X113" s="70"/>
      <c r="Y113" s="72">
        <v>4.2000000000000003E-2</v>
      </c>
      <c r="Z113" s="59" t="s">
        <v>77</v>
      </c>
    </row>
    <row r="114" spans="21:26" x14ac:dyDescent="0.25">
      <c r="U114" s="62">
        <v>43830</v>
      </c>
      <c r="V114" s="63">
        <f t="shared" si="20"/>
        <v>1250000</v>
      </c>
      <c r="W114" s="66">
        <v>0.33333333333333331</v>
      </c>
      <c r="X114" s="74">
        <f>V114/(1+$Y$113/4)^(W114)</f>
        <v>1245655.3770645144</v>
      </c>
    </row>
    <row r="115" spans="21:26" x14ac:dyDescent="0.25">
      <c r="U115" s="62">
        <v>43921</v>
      </c>
      <c r="V115" s="63">
        <f t="shared" si="20"/>
        <v>1250000</v>
      </c>
      <c r="W115" s="66">
        <v>1.3333333333333333</v>
      </c>
      <c r="X115" s="74">
        <f t="shared" ref="X115:X121" si="21">V115/(1+$Y$113/4)^(W115)</f>
        <v>1232711.9020925427</v>
      </c>
    </row>
    <row r="116" spans="21:26" x14ac:dyDescent="0.25">
      <c r="U116" s="62">
        <v>44012</v>
      </c>
      <c r="V116" s="63">
        <f t="shared" si="20"/>
        <v>1250000</v>
      </c>
      <c r="W116" s="66">
        <v>2.3333333333333335</v>
      </c>
      <c r="X116" s="74">
        <f t="shared" si="21"/>
        <v>1219902.9214176575</v>
      </c>
    </row>
    <row r="117" spans="21:26" x14ac:dyDescent="0.25">
      <c r="U117" s="62">
        <v>44104</v>
      </c>
      <c r="V117" s="63">
        <f t="shared" si="20"/>
        <v>1250000</v>
      </c>
      <c r="W117" s="66">
        <v>3.3333333333333335</v>
      </c>
      <c r="X117" s="74">
        <f t="shared" si="21"/>
        <v>1207227.0375236589</v>
      </c>
    </row>
    <row r="118" spans="21:26" x14ac:dyDescent="0.25">
      <c r="U118" s="62">
        <v>44196</v>
      </c>
      <c r="V118" s="63">
        <f t="shared" si="20"/>
        <v>1250000</v>
      </c>
      <c r="W118" s="66">
        <v>4.333333333333333</v>
      </c>
      <c r="X118" s="74">
        <f t="shared" si="21"/>
        <v>1194682.8674157935</v>
      </c>
    </row>
    <row r="119" spans="21:26" x14ac:dyDescent="0.25">
      <c r="U119" s="62">
        <v>44286</v>
      </c>
      <c r="V119" s="63">
        <f t="shared" si="20"/>
        <v>1250000</v>
      </c>
      <c r="W119" s="66">
        <v>5.333333333333333</v>
      </c>
      <c r="X119" s="74">
        <f t="shared" si="21"/>
        <v>1182269.0424698598</v>
      </c>
    </row>
    <row r="120" spans="21:26" x14ac:dyDescent="0.25">
      <c r="U120" s="62">
        <v>44377</v>
      </c>
      <c r="V120" s="63">
        <f t="shared" si="20"/>
        <v>1250000</v>
      </c>
      <c r="W120" s="66">
        <v>6.333333333333333</v>
      </c>
      <c r="X120" s="74">
        <f t="shared" si="21"/>
        <v>1169984.2082828896</v>
      </c>
    </row>
    <row r="121" spans="21:26" x14ac:dyDescent="0.25">
      <c r="U121" s="62">
        <v>44469</v>
      </c>
      <c r="V121" s="63">
        <f t="shared" si="20"/>
        <v>1250000</v>
      </c>
      <c r="W121" s="66">
        <v>7.333333333333333</v>
      </c>
      <c r="X121" s="74">
        <f t="shared" si="21"/>
        <v>1157827.024525373</v>
      </c>
    </row>
    <row r="122" spans="21:26" x14ac:dyDescent="0.25">
      <c r="U122" s="62">
        <v>44561</v>
      </c>
      <c r="V122" s="63">
        <f>$F$10*$F$11/4+$F$10</f>
        <v>101250000</v>
      </c>
      <c r="W122" s="66">
        <v>8.3333333333333339</v>
      </c>
      <c r="X122" s="74">
        <f>V122/(1+$Y$113/4)^(W122)</f>
        <v>92809489.348397061</v>
      </c>
    </row>
    <row r="123" spans="21:26" ht="22.5" x14ac:dyDescent="0.25">
      <c r="X123" s="83">
        <f>SUM(X114:X122)</f>
        <v>102419749.72918935</v>
      </c>
    </row>
    <row r="125" spans="21:26" x14ac:dyDescent="0.25">
      <c r="U125" s="390" t="s">
        <v>59</v>
      </c>
      <c r="V125" s="391"/>
      <c r="W125" s="391"/>
      <c r="X125" s="391"/>
    </row>
    <row r="126" spans="21:26" ht="18.75" x14ac:dyDescent="0.25">
      <c r="U126" s="60" t="s">
        <v>62</v>
      </c>
      <c r="V126" s="60" t="s">
        <v>63</v>
      </c>
      <c r="W126" s="60" t="s">
        <v>64</v>
      </c>
      <c r="X126" s="60" t="s">
        <v>65</v>
      </c>
    </row>
    <row r="127" spans="21:26" x14ac:dyDescent="0.25">
      <c r="U127" s="62">
        <v>43190</v>
      </c>
      <c r="V127" s="63">
        <v>-100000000</v>
      </c>
      <c r="W127" s="56">
        <v>0</v>
      </c>
    </row>
    <row r="128" spans="21:26" x14ac:dyDescent="0.25">
      <c r="U128" s="62">
        <v>43281</v>
      </c>
      <c r="V128" s="63">
        <f>$F$10*$F$11/4</f>
        <v>1250000</v>
      </c>
    </row>
    <row r="129" spans="21:26" x14ac:dyDescent="0.25">
      <c r="U129" s="62">
        <v>43373</v>
      </c>
      <c r="V129" s="63">
        <f t="shared" ref="V129:V142" si="22">$F$10*$F$11/4</f>
        <v>1250000</v>
      </c>
    </row>
    <row r="130" spans="21:26" x14ac:dyDescent="0.25">
      <c r="U130" s="62">
        <v>43465</v>
      </c>
      <c r="V130" s="63">
        <f t="shared" si="22"/>
        <v>1250000</v>
      </c>
    </row>
    <row r="131" spans="21:26" x14ac:dyDescent="0.25">
      <c r="U131" s="62">
        <v>43555</v>
      </c>
      <c r="V131" s="63">
        <f t="shared" si="22"/>
        <v>1250000</v>
      </c>
    </row>
    <row r="132" spans="21:26" x14ac:dyDescent="0.25">
      <c r="U132" s="62">
        <v>43646</v>
      </c>
      <c r="V132" s="63">
        <f t="shared" si="22"/>
        <v>1250000</v>
      </c>
    </row>
    <row r="133" spans="21:26" x14ac:dyDescent="0.25">
      <c r="U133" s="62">
        <v>43738</v>
      </c>
      <c r="V133" s="63">
        <f t="shared" si="22"/>
        <v>1250000</v>
      </c>
    </row>
    <row r="134" spans="21:26" ht="18.75" x14ac:dyDescent="0.3">
      <c r="U134" s="67">
        <v>43799</v>
      </c>
      <c r="V134" s="68"/>
      <c r="W134" s="69"/>
      <c r="X134" s="70"/>
      <c r="Y134" s="72">
        <v>0.05</v>
      </c>
      <c r="Z134" s="59" t="s">
        <v>77</v>
      </c>
    </row>
    <row r="135" spans="21:26" x14ac:dyDescent="0.25">
      <c r="U135" s="62">
        <v>43830</v>
      </c>
      <c r="V135" s="63">
        <f t="shared" si="22"/>
        <v>1250000</v>
      </c>
      <c r="W135" s="66">
        <v>0.33333333333333331</v>
      </c>
      <c r="X135" s="74">
        <f>V135/(1+$Y$134/4)^(W135)</f>
        <v>1244834.6518214345</v>
      </c>
    </row>
    <row r="136" spans="21:26" x14ac:dyDescent="0.25">
      <c r="U136" s="62">
        <v>43921</v>
      </c>
      <c r="V136" s="63">
        <f t="shared" si="22"/>
        <v>1250000</v>
      </c>
      <c r="W136" s="66">
        <v>1.3333333333333333</v>
      </c>
      <c r="X136" s="74">
        <f t="shared" ref="X136:X141" si="23">V136/(1+$Y$134/4)^(W136)</f>
        <v>1229466.3227866022</v>
      </c>
    </row>
    <row r="137" spans="21:26" x14ac:dyDescent="0.25">
      <c r="U137" s="62">
        <v>44012</v>
      </c>
      <c r="V137" s="63">
        <f t="shared" si="22"/>
        <v>1250000</v>
      </c>
      <c r="W137" s="66">
        <v>2.3333333333333335</v>
      </c>
      <c r="X137" s="74">
        <f>V137/(1+$Y$134/4)^(W137)</f>
        <v>1214287.72620899</v>
      </c>
    </row>
    <row r="138" spans="21:26" x14ac:dyDescent="0.25">
      <c r="U138" s="62">
        <v>44104</v>
      </c>
      <c r="V138" s="63">
        <f t="shared" si="22"/>
        <v>1250000</v>
      </c>
      <c r="W138" s="66">
        <v>3.3333333333333335</v>
      </c>
      <c r="X138" s="74">
        <f t="shared" si="23"/>
        <v>1199296.5197125827</v>
      </c>
    </row>
    <row r="139" spans="21:26" x14ac:dyDescent="0.25">
      <c r="U139" s="62">
        <v>44196</v>
      </c>
      <c r="V139" s="63">
        <f t="shared" si="22"/>
        <v>1250000</v>
      </c>
      <c r="W139" s="66">
        <v>4.333333333333333</v>
      </c>
      <c r="X139" s="74">
        <f>V139/(1+$Y$134/4)^(W139)</f>
        <v>1184490.389839588</v>
      </c>
    </row>
    <row r="140" spans="21:26" x14ac:dyDescent="0.25">
      <c r="U140" s="62">
        <v>44286</v>
      </c>
      <c r="V140" s="63">
        <f t="shared" si="22"/>
        <v>1250000</v>
      </c>
      <c r="W140" s="66">
        <v>5.333333333333333</v>
      </c>
      <c r="X140" s="74">
        <f t="shared" si="23"/>
        <v>1169867.0516934202</v>
      </c>
    </row>
    <row r="141" spans="21:26" x14ac:dyDescent="0.25">
      <c r="U141" s="62">
        <v>44377</v>
      </c>
      <c r="V141" s="63">
        <f t="shared" si="22"/>
        <v>1250000</v>
      </c>
      <c r="W141" s="66">
        <v>6.333333333333333</v>
      </c>
      <c r="X141" s="74">
        <f t="shared" si="23"/>
        <v>1155424.248586094</v>
      </c>
    </row>
    <row r="142" spans="21:26" x14ac:dyDescent="0.25">
      <c r="U142" s="62">
        <v>44469</v>
      </c>
      <c r="V142" s="63">
        <f t="shared" si="22"/>
        <v>1250000</v>
      </c>
      <c r="W142" s="66">
        <v>7.333333333333333</v>
      </c>
      <c r="X142" s="74">
        <f>V142/(1+$Y$134/4)^(W142)</f>
        <v>1141159.7516899696</v>
      </c>
    </row>
    <row r="143" spans="21:26" x14ac:dyDescent="0.25">
      <c r="U143" s="62">
        <v>44561</v>
      </c>
      <c r="V143" s="63">
        <f>$F$10*$F$11/4+$F$10</f>
        <v>101250000</v>
      </c>
      <c r="W143" s="66">
        <v>8.3333333333333339</v>
      </c>
      <c r="X143" s="74">
        <f>V143/(1+$Y$134/4)^(W143)</f>
        <v>91292780.13519755</v>
      </c>
    </row>
    <row r="144" spans="21:26" ht="22.5" x14ac:dyDescent="0.25">
      <c r="X144" s="83">
        <f>SUM(X135:X143)</f>
        <v>100831606.79753622</v>
      </c>
    </row>
    <row r="146" spans="21:26" x14ac:dyDescent="0.25">
      <c r="U146" s="390" t="s">
        <v>59</v>
      </c>
      <c r="V146" s="391"/>
      <c r="W146" s="391"/>
      <c r="X146" s="391"/>
    </row>
    <row r="147" spans="21:26" ht="18.75" x14ac:dyDescent="0.25">
      <c r="U147" s="60" t="s">
        <v>62</v>
      </c>
      <c r="V147" s="60" t="s">
        <v>63</v>
      </c>
      <c r="W147" s="60" t="s">
        <v>64</v>
      </c>
      <c r="X147" s="60" t="s">
        <v>65</v>
      </c>
    </row>
    <row r="148" spans="21:26" x14ac:dyDescent="0.25">
      <c r="U148" s="62">
        <v>43190</v>
      </c>
      <c r="V148" s="63">
        <v>-100000000</v>
      </c>
      <c r="W148" s="56">
        <v>0</v>
      </c>
    </row>
    <row r="149" spans="21:26" x14ac:dyDescent="0.25">
      <c r="U149" s="62">
        <v>43281</v>
      </c>
      <c r="V149" s="63">
        <f>$F$10*$F$11/4</f>
        <v>1250000</v>
      </c>
    </row>
    <row r="150" spans="21:26" x14ac:dyDescent="0.25">
      <c r="U150" s="62">
        <v>43373</v>
      </c>
      <c r="V150" s="63">
        <f t="shared" ref="V150:V163" si="24">$F$10*$F$11/4</f>
        <v>1250000</v>
      </c>
    </row>
    <row r="151" spans="21:26" x14ac:dyDescent="0.25">
      <c r="U151" s="62">
        <v>43465</v>
      </c>
      <c r="V151" s="63">
        <f t="shared" si="24"/>
        <v>1250000</v>
      </c>
    </row>
    <row r="152" spans="21:26" x14ac:dyDescent="0.25">
      <c r="U152" s="62">
        <v>43555</v>
      </c>
      <c r="V152" s="63">
        <f t="shared" si="24"/>
        <v>1250000</v>
      </c>
    </row>
    <row r="153" spans="21:26" x14ac:dyDescent="0.25">
      <c r="U153" s="62">
        <v>43646</v>
      </c>
      <c r="V153" s="63">
        <f t="shared" si="24"/>
        <v>1250000</v>
      </c>
    </row>
    <row r="154" spans="21:26" x14ac:dyDescent="0.25">
      <c r="U154" s="62">
        <v>43738</v>
      </c>
      <c r="V154" s="63">
        <f t="shared" si="24"/>
        <v>1250000</v>
      </c>
    </row>
    <row r="155" spans="21:26" ht="18.75" x14ac:dyDescent="0.3">
      <c r="U155" s="67">
        <v>43799</v>
      </c>
      <c r="V155" s="68"/>
      <c r="W155" s="69"/>
      <c r="X155" s="70"/>
      <c r="Y155" s="72">
        <v>3.9E-2</v>
      </c>
      <c r="Z155" s="59" t="s">
        <v>77</v>
      </c>
    </row>
    <row r="156" spans="21:26" x14ac:dyDescent="0.25">
      <c r="U156" s="62">
        <v>43830</v>
      </c>
      <c r="V156" s="63">
        <f t="shared" si="24"/>
        <v>1250000</v>
      </c>
      <c r="W156" s="66">
        <v>0.33333333333333331</v>
      </c>
      <c r="X156" s="74">
        <f>V156/(1+$Y$155/4)^(W156)</f>
        <v>1245963.7076159841</v>
      </c>
    </row>
    <row r="157" spans="21:26" x14ac:dyDescent="0.25">
      <c r="U157" s="62">
        <v>43921</v>
      </c>
      <c r="V157" s="63">
        <f t="shared" si="24"/>
        <v>1250000</v>
      </c>
      <c r="W157" s="66">
        <v>1.3333333333333333</v>
      </c>
      <c r="X157" s="74">
        <f t="shared" ref="X157:X164" si="25">V157/(1+$Y$155/4)^(W157)</f>
        <v>1233932.8622094421</v>
      </c>
    </row>
    <row r="158" spans="21:26" x14ac:dyDescent="0.25">
      <c r="U158" s="62">
        <v>44012</v>
      </c>
      <c r="V158" s="63">
        <f>$F$10*$F$11/4</f>
        <v>1250000</v>
      </c>
      <c r="W158" s="66">
        <v>2.3333333333333335</v>
      </c>
      <c r="X158" s="74">
        <f t="shared" si="25"/>
        <v>1222018.1849066028</v>
      </c>
    </row>
    <row r="159" spans="21:26" x14ac:dyDescent="0.25">
      <c r="U159" s="62">
        <v>44104</v>
      </c>
      <c r="V159" s="63">
        <f t="shared" si="24"/>
        <v>1250000</v>
      </c>
      <c r="W159" s="66">
        <v>3.3333333333333335</v>
      </c>
      <c r="X159" s="74">
        <f t="shared" si="25"/>
        <v>1210218.5540050538</v>
      </c>
    </row>
    <row r="160" spans="21:26" x14ac:dyDescent="0.25">
      <c r="U160" s="62">
        <v>44196</v>
      </c>
      <c r="V160" s="63">
        <f t="shared" si="24"/>
        <v>1250000</v>
      </c>
      <c r="W160" s="66">
        <v>4.333333333333333</v>
      </c>
      <c r="X160" s="74">
        <f t="shared" si="25"/>
        <v>1198532.8586333783</v>
      </c>
    </row>
    <row r="161" spans="13:31" x14ac:dyDescent="0.25">
      <c r="U161" s="62">
        <v>44286</v>
      </c>
      <c r="V161" s="63">
        <f t="shared" si="24"/>
        <v>1250000</v>
      </c>
      <c r="W161" s="66">
        <v>5.333333333333333</v>
      </c>
      <c r="X161" s="74">
        <f>V161/(1+$Y$155/4)^(W161)</f>
        <v>1186959.9986465743</v>
      </c>
    </row>
    <row r="162" spans="13:31" x14ac:dyDescent="0.25">
      <c r="U162" s="62">
        <v>44377</v>
      </c>
      <c r="V162" s="63">
        <f t="shared" si="24"/>
        <v>1250000</v>
      </c>
      <c r="W162" s="66">
        <v>6.333333333333333</v>
      </c>
      <c r="X162" s="74">
        <f t="shared" si="25"/>
        <v>1175498.8845224802</v>
      </c>
    </row>
    <row r="163" spans="13:31" x14ac:dyDescent="0.25">
      <c r="U163" s="62">
        <v>44469</v>
      </c>
      <c r="V163" s="63">
        <f t="shared" si="24"/>
        <v>1250000</v>
      </c>
      <c r="W163" s="66">
        <v>7.333333333333333</v>
      </c>
      <c r="X163" s="74">
        <f t="shared" si="25"/>
        <v>1164148.4372592031</v>
      </c>
    </row>
    <row r="164" spans="13:31" x14ac:dyDescent="0.25">
      <c r="U164" s="62">
        <v>44561</v>
      </c>
      <c r="V164" s="63">
        <f>$F$10*$F$11/4+$F$10</f>
        <v>101250000</v>
      </c>
      <c r="W164" s="66">
        <v>8.3333333333333339</v>
      </c>
      <c r="X164" s="74">
        <f t="shared" si="25"/>
        <v>93385514.650156438</v>
      </c>
    </row>
    <row r="165" spans="13:31" ht="22.5" x14ac:dyDescent="0.25">
      <c r="X165" s="83">
        <f>SUM(X156:X164)</f>
        <v>103022788.13795516</v>
      </c>
    </row>
    <row r="167" spans="13:31" x14ac:dyDescent="0.25">
      <c r="U167" s="59" t="s">
        <v>98</v>
      </c>
      <c r="V167" s="88" t="s">
        <v>93</v>
      </c>
      <c r="W167" s="88" t="s">
        <v>94</v>
      </c>
    </row>
    <row r="168" spans="13:31" x14ac:dyDescent="0.25">
      <c r="U168" s="59" t="s">
        <v>95</v>
      </c>
      <c r="V168" s="80">
        <f>Y113</f>
        <v>4.2000000000000003E-2</v>
      </c>
      <c r="W168" s="89">
        <f>X123</f>
        <v>102419749.72918935</v>
      </c>
    </row>
    <row r="169" spans="13:31" x14ac:dyDescent="0.25">
      <c r="U169" s="59" t="s">
        <v>96</v>
      </c>
      <c r="V169" s="80">
        <f>Y134</f>
        <v>0.05</v>
      </c>
      <c r="W169" s="89">
        <f>X144</f>
        <v>100831606.79753622</v>
      </c>
    </row>
    <row r="170" spans="13:31" x14ac:dyDescent="0.25">
      <c r="M170" s="59" t="s">
        <v>125</v>
      </c>
      <c r="O170" s="59" t="s">
        <v>126</v>
      </c>
      <c r="U170" s="59" t="s">
        <v>97</v>
      </c>
      <c r="V170" s="80">
        <f>Y155</f>
        <v>3.9E-2</v>
      </c>
      <c r="W170" s="89">
        <f>X165</f>
        <v>103022788.13795516</v>
      </c>
      <c r="X170" s="393" t="s">
        <v>99</v>
      </c>
      <c r="Y170" s="393"/>
      <c r="Z170" s="393"/>
      <c r="AC170" s="56" t="s">
        <v>127</v>
      </c>
    </row>
    <row r="171" spans="13:31" x14ac:dyDescent="0.25">
      <c r="M171" s="56" t="s">
        <v>128</v>
      </c>
      <c r="X171" s="90" t="s">
        <v>93</v>
      </c>
      <c r="Y171" s="90" t="s">
        <v>100</v>
      </c>
      <c r="Z171" s="90" t="s">
        <v>101</v>
      </c>
    </row>
    <row r="172" spans="13:31" x14ac:dyDescent="0.25">
      <c r="X172" s="91">
        <v>4.2000000000000003E-2</v>
      </c>
      <c r="Y172" s="65">
        <v>0</v>
      </c>
      <c r="Z172" s="65">
        <v>0</v>
      </c>
    </row>
    <row r="173" spans="13:31" x14ac:dyDescent="0.25">
      <c r="M173" s="59" t="s">
        <v>129</v>
      </c>
      <c r="U173" s="56" t="s">
        <v>102</v>
      </c>
      <c r="V173" s="56" t="s">
        <v>93</v>
      </c>
      <c r="W173" s="56" t="s">
        <v>94</v>
      </c>
      <c r="X173" s="92">
        <v>0.05</v>
      </c>
      <c r="Y173" s="92">
        <f>W169/W168-1</f>
        <v>-1.5506217656773957E-2</v>
      </c>
      <c r="Z173" s="92">
        <f>W175/W174-1</f>
        <v>-8.2931328359314715E-3</v>
      </c>
    </row>
    <row r="174" spans="13:31" x14ac:dyDescent="0.25">
      <c r="M174" s="56" t="s">
        <v>130</v>
      </c>
      <c r="N174" s="125">
        <v>150000000</v>
      </c>
      <c r="U174" s="59" t="s">
        <v>95</v>
      </c>
      <c r="V174" s="93">
        <v>4.2000000000000003E-2</v>
      </c>
      <c r="W174" s="94">
        <f>X57</f>
        <v>101674809.49877763</v>
      </c>
      <c r="X174" s="92">
        <v>3.9E-2</v>
      </c>
      <c r="Y174" s="92">
        <f>W170/W168-1</f>
        <v>5.8879113682694939E-3</v>
      </c>
      <c r="Z174" s="92">
        <f>W176/Tabla4[[#This Row],[Valoración]]-1</f>
        <v>3.1323919939769684E-3</v>
      </c>
    </row>
    <row r="175" spans="13:31" x14ac:dyDescent="0.25">
      <c r="M175" s="56" t="s">
        <v>131</v>
      </c>
      <c r="N175" s="126">
        <v>2</v>
      </c>
      <c r="O175" s="56" t="s">
        <v>132</v>
      </c>
      <c r="U175" s="59" t="s">
        <v>96</v>
      </c>
      <c r="V175" s="93">
        <v>0.05</v>
      </c>
      <c r="W175" s="94">
        <f>X76</f>
        <v>100831606.79753624</v>
      </c>
    </row>
    <row r="176" spans="13:31" x14ac:dyDescent="0.25">
      <c r="N176" s="125"/>
      <c r="U176" s="59" t="s">
        <v>97</v>
      </c>
      <c r="V176" s="93">
        <v>3.9E-2</v>
      </c>
      <c r="W176" s="94">
        <f>X94</f>
        <v>101993294.85804074</v>
      </c>
      <c r="X176" s="394" t="s">
        <v>103</v>
      </c>
      <c r="Y176" s="395"/>
      <c r="Z176" s="395"/>
      <c r="AA176" s="395"/>
      <c r="AB176" s="395"/>
      <c r="AC176" s="395"/>
      <c r="AD176" s="395"/>
      <c r="AE176" s="395"/>
    </row>
    <row r="177" spans="9:31" x14ac:dyDescent="0.25">
      <c r="M177" s="56" t="s">
        <v>133</v>
      </c>
      <c r="N177" s="127" t="s">
        <v>134</v>
      </c>
      <c r="X177" s="395"/>
      <c r="Y177" s="395"/>
      <c r="Z177" s="395"/>
      <c r="AA177" s="395"/>
      <c r="AB177" s="395"/>
      <c r="AC177" s="395"/>
      <c r="AD177" s="395"/>
      <c r="AE177" s="395"/>
    </row>
    <row r="178" spans="9:31" x14ac:dyDescent="0.25">
      <c r="N178" s="127" t="s">
        <v>135</v>
      </c>
      <c r="X178" s="395"/>
      <c r="Y178" s="395"/>
      <c r="Z178" s="395"/>
      <c r="AA178" s="395"/>
      <c r="AB178" s="395"/>
      <c r="AC178" s="395"/>
      <c r="AD178" s="395"/>
      <c r="AE178" s="395"/>
    </row>
    <row r="179" spans="9:31" x14ac:dyDescent="0.25">
      <c r="N179" s="125"/>
      <c r="X179" s="395"/>
      <c r="Y179" s="395"/>
      <c r="Z179" s="395"/>
      <c r="AA179" s="395"/>
      <c r="AB179" s="395"/>
      <c r="AC179" s="395"/>
      <c r="AD179" s="395"/>
      <c r="AE179" s="395"/>
    </row>
    <row r="180" spans="9:31" x14ac:dyDescent="0.25">
      <c r="M180" s="56" t="s">
        <v>136</v>
      </c>
      <c r="N180" s="125"/>
      <c r="R180" s="59" t="s">
        <v>137</v>
      </c>
      <c r="X180" s="395"/>
      <c r="Y180" s="395"/>
      <c r="Z180" s="395"/>
      <c r="AA180" s="395"/>
      <c r="AB180" s="395"/>
      <c r="AC180" s="395"/>
      <c r="AD180" s="395"/>
      <c r="AE180" s="395"/>
    </row>
    <row r="181" spans="9:31" x14ac:dyDescent="0.25">
      <c r="M181" s="56" t="s">
        <v>138</v>
      </c>
      <c r="N181" s="65">
        <v>0.02</v>
      </c>
      <c r="O181" s="128">
        <f>-N175*N181</f>
        <v>-0.04</v>
      </c>
      <c r="P181" s="56" t="s">
        <v>139</v>
      </c>
      <c r="Q181" s="129">
        <f>+N174*(1+O181)</f>
        <v>144000000</v>
      </c>
      <c r="R181" s="125">
        <f>+O181*$N$174</f>
        <v>-6000000</v>
      </c>
      <c r="X181" s="395"/>
      <c r="Y181" s="395"/>
      <c r="Z181" s="395"/>
      <c r="AA181" s="395"/>
      <c r="AB181" s="395"/>
      <c r="AC181" s="395"/>
      <c r="AD181" s="395"/>
      <c r="AE181" s="395"/>
    </row>
    <row r="182" spans="9:31" x14ac:dyDescent="0.25">
      <c r="M182" s="56" t="s">
        <v>140</v>
      </c>
      <c r="N182" s="65">
        <v>0.01</v>
      </c>
      <c r="O182" s="92">
        <f>+N175*N182</f>
        <v>0.02</v>
      </c>
      <c r="P182" s="56" t="s">
        <v>139</v>
      </c>
      <c r="Q182" s="129">
        <f>+N174*(1+O182)</f>
        <v>153000000</v>
      </c>
      <c r="R182" s="125">
        <f t="shared" ref="R182" si="26">+O182*$N$174</f>
        <v>3000000</v>
      </c>
      <c r="X182" s="395"/>
      <c r="Y182" s="395"/>
      <c r="Z182" s="395"/>
      <c r="AA182" s="395"/>
      <c r="AB182" s="395"/>
      <c r="AC182" s="395"/>
      <c r="AD182" s="395"/>
      <c r="AE182" s="395"/>
    </row>
    <row r="183" spans="9:31" x14ac:dyDescent="0.25">
      <c r="X183" s="395"/>
      <c r="Y183" s="395"/>
      <c r="Z183" s="395"/>
      <c r="AA183" s="395"/>
      <c r="AB183" s="395"/>
      <c r="AC183" s="395"/>
      <c r="AD183" s="395"/>
      <c r="AE183" s="395"/>
    </row>
    <row r="184" spans="9:31" ht="18.75" x14ac:dyDescent="0.3">
      <c r="M184" s="130" t="s">
        <v>141</v>
      </c>
      <c r="X184" s="395"/>
      <c r="Y184" s="395"/>
      <c r="Z184" s="395"/>
      <c r="AA184" s="395"/>
      <c r="AB184" s="395"/>
      <c r="AC184" s="395"/>
      <c r="AD184" s="395"/>
      <c r="AE184" s="395"/>
    </row>
    <row r="185" spans="9:31" x14ac:dyDescent="0.25">
      <c r="M185" s="56" t="s">
        <v>142</v>
      </c>
      <c r="X185" s="395"/>
      <c r="Y185" s="395"/>
      <c r="Z185" s="395"/>
      <c r="AA185" s="395"/>
      <c r="AB185" s="395"/>
      <c r="AC185" s="395"/>
      <c r="AD185" s="395"/>
      <c r="AE185" s="395"/>
    </row>
    <row r="186" spans="9:31" x14ac:dyDescent="0.25">
      <c r="M186" s="56" t="s">
        <v>143</v>
      </c>
      <c r="N186" s="65">
        <v>0.08</v>
      </c>
      <c r="X186" s="395"/>
      <c r="Y186" s="395"/>
      <c r="Z186" s="395"/>
      <c r="AA186" s="395"/>
      <c r="AB186" s="395"/>
      <c r="AC186" s="395"/>
      <c r="AD186" s="395"/>
      <c r="AE186" s="395"/>
    </row>
    <row r="187" spans="9:31" x14ac:dyDescent="0.25">
      <c r="M187" s="56" t="s">
        <v>144</v>
      </c>
      <c r="N187" s="56">
        <v>5</v>
      </c>
      <c r="O187" s="56" t="s">
        <v>145</v>
      </c>
      <c r="X187" s="395"/>
      <c r="Y187" s="395"/>
      <c r="Z187" s="395"/>
      <c r="AA187" s="395"/>
      <c r="AB187" s="395"/>
      <c r="AC187" s="395"/>
      <c r="AD187" s="395"/>
      <c r="AE187" s="395"/>
    </row>
    <row r="188" spans="9:31" x14ac:dyDescent="0.25">
      <c r="N188" s="56" t="s">
        <v>146</v>
      </c>
      <c r="X188" s="395"/>
      <c r="Y188" s="395"/>
      <c r="Z188" s="395"/>
      <c r="AA188" s="395"/>
      <c r="AB188" s="395"/>
      <c r="AC188" s="395"/>
      <c r="AD188" s="395"/>
      <c r="AE188" s="395"/>
    </row>
    <row r="189" spans="9:31" x14ac:dyDescent="0.25">
      <c r="M189" s="56" t="s">
        <v>147</v>
      </c>
      <c r="N189" s="56">
        <v>100</v>
      </c>
      <c r="X189" s="395"/>
      <c r="Y189" s="395"/>
      <c r="Z189" s="395"/>
      <c r="AA189" s="395"/>
      <c r="AB189" s="395"/>
      <c r="AC189" s="395"/>
      <c r="AD189" s="395"/>
      <c r="AE189" s="395"/>
    </row>
    <row r="190" spans="9:31" x14ac:dyDescent="0.25">
      <c r="I190" s="56" t="s">
        <v>148</v>
      </c>
      <c r="M190" s="56" t="s">
        <v>149</v>
      </c>
      <c r="N190" s="56">
        <v>2</v>
      </c>
      <c r="O190" s="56" t="s">
        <v>150</v>
      </c>
      <c r="X190" s="395"/>
      <c r="Y190" s="395"/>
      <c r="Z190" s="395"/>
      <c r="AA190" s="395"/>
      <c r="AB190" s="395"/>
      <c r="AC190" s="395"/>
      <c r="AD190" s="395"/>
      <c r="AE190" s="395"/>
    </row>
    <row r="191" spans="9:31" x14ac:dyDescent="0.25">
      <c r="I191" s="56" t="s">
        <v>151</v>
      </c>
      <c r="X191" s="395"/>
      <c r="Y191" s="395"/>
      <c r="Z191" s="395"/>
      <c r="AA191" s="395"/>
      <c r="AB191" s="395"/>
      <c r="AC191" s="395"/>
      <c r="AD191" s="395"/>
      <c r="AE191" s="395"/>
    </row>
    <row r="192" spans="9:31" x14ac:dyDescent="0.25">
      <c r="P192" s="131">
        <v>0.08</v>
      </c>
      <c r="X192" s="395"/>
      <c r="Y192" s="395"/>
      <c r="Z192" s="395"/>
      <c r="AA192" s="395"/>
      <c r="AB192" s="395"/>
      <c r="AC192" s="395"/>
      <c r="AD192" s="395"/>
      <c r="AE192" s="395"/>
    </row>
    <row r="193" spans="13:18" ht="18.75" x14ac:dyDescent="0.25">
      <c r="M193" s="60" t="s">
        <v>62</v>
      </c>
      <c r="N193" s="60" t="s">
        <v>63</v>
      </c>
      <c r="O193" s="60" t="s">
        <v>64</v>
      </c>
      <c r="P193" s="60" t="s">
        <v>65</v>
      </c>
      <c r="Q193" s="88" t="s">
        <v>152</v>
      </c>
      <c r="R193" s="59" t="s">
        <v>153</v>
      </c>
    </row>
    <row r="194" spans="13:18" x14ac:dyDescent="0.25">
      <c r="M194" s="90">
        <v>1</v>
      </c>
      <c r="N194" s="132">
        <f>+$N$189*$N$186/2</f>
        <v>4</v>
      </c>
      <c r="O194" s="90">
        <f>+M194</f>
        <v>1</v>
      </c>
      <c r="P194" s="133">
        <f>+N194/(1+$P$192/2)^O194</f>
        <v>3.8461538461538458</v>
      </c>
      <c r="Q194" s="134">
        <f>+P194*O194</f>
        <v>3.8461538461538458</v>
      </c>
      <c r="R194" s="56">
        <f>+O194*(O194+1)*P194</f>
        <v>7.6923076923076916</v>
      </c>
    </row>
    <row r="195" spans="13:18" x14ac:dyDescent="0.25">
      <c r="M195" s="90">
        <v>2</v>
      </c>
      <c r="N195" s="132">
        <f>+$N$189*$N$186/2</f>
        <v>4</v>
      </c>
      <c r="O195" s="90">
        <f t="shared" ref="O195:O203" si="27">+M195</f>
        <v>2</v>
      </c>
      <c r="P195" s="133">
        <f>+N195/(1+$P$192/2)^O195</f>
        <v>3.6982248520710055</v>
      </c>
      <c r="Q195" s="134">
        <f t="shared" ref="Q195:Q203" si="28">+P195*O195</f>
        <v>7.396449704142011</v>
      </c>
      <c r="R195" s="56">
        <f t="shared" ref="R195:R202" si="29">+O195*(O195+1)*P195</f>
        <v>22.189349112426033</v>
      </c>
    </row>
    <row r="196" spans="13:18" x14ac:dyDescent="0.25">
      <c r="M196" s="90">
        <v>3</v>
      </c>
      <c r="N196" s="132">
        <f t="shared" ref="N196:N202" si="30">+$N$189*$N$186/2</f>
        <v>4</v>
      </c>
      <c r="O196" s="90">
        <f t="shared" si="27"/>
        <v>3</v>
      </c>
      <c r="P196" s="133">
        <f t="shared" ref="P196:P203" si="31">+N196/(1+$P$192/2)^O196</f>
        <v>3.5559854346836595</v>
      </c>
      <c r="Q196" s="134">
        <f t="shared" si="28"/>
        <v>10.667956304050978</v>
      </c>
      <c r="R196" s="56">
        <f t="shared" si="29"/>
        <v>42.671825216203914</v>
      </c>
    </row>
    <row r="197" spans="13:18" x14ac:dyDescent="0.25">
      <c r="M197" s="90">
        <v>4</v>
      </c>
      <c r="N197" s="132">
        <f t="shared" si="30"/>
        <v>4</v>
      </c>
      <c r="O197" s="90">
        <f t="shared" si="27"/>
        <v>4</v>
      </c>
      <c r="P197" s="133">
        <f t="shared" si="31"/>
        <v>3.4192167641189029</v>
      </c>
      <c r="Q197" s="134">
        <f t="shared" si="28"/>
        <v>13.676867056475611</v>
      </c>
      <c r="R197" s="56">
        <f t="shared" si="29"/>
        <v>68.384335282378061</v>
      </c>
    </row>
    <row r="198" spans="13:18" x14ac:dyDescent="0.25">
      <c r="M198" s="90">
        <v>5</v>
      </c>
      <c r="N198" s="132">
        <f t="shared" si="30"/>
        <v>4</v>
      </c>
      <c r="O198" s="90">
        <f t="shared" si="27"/>
        <v>5</v>
      </c>
      <c r="P198" s="133">
        <f t="shared" si="31"/>
        <v>3.2877084270374062</v>
      </c>
      <c r="Q198" s="134">
        <f t="shared" si="28"/>
        <v>16.438542135187031</v>
      </c>
      <c r="R198" s="56">
        <f t="shared" si="29"/>
        <v>98.631252811122181</v>
      </c>
    </row>
    <row r="199" spans="13:18" x14ac:dyDescent="0.25">
      <c r="M199" s="90">
        <v>6</v>
      </c>
      <c r="N199" s="132">
        <f t="shared" si="30"/>
        <v>4</v>
      </c>
      <c r="O199" s="90">
        <f t="shared" si="27"/>
        <v>6</v>
      </c>
      <c r="P199" s="133">
        <f>+N199/(1+$P$192/2)^O199</f>
        <v>3.1612581029205828</v>
      </c>
      <c r="Q199" s="134">
        <f t="shared" si="28"/>
        <v>18.967548617523498</v>
      </c>
      <c r="R199" s="56">
        <f t="shared" si="29"/>
        <v>132.77284032266448</v>
      </c>
    </row>
    <row r="200" spans="13:18" x14ac:dyDescent="0.25">
      <c r="M200" s="90">
        <v>7</v>
      </c>
      <c r="N200" s="132">
        <f t="shared" si="30"/>
        <v>4</v>
      </c>
      <c r="O200" s="90">
        <f t="shared" si="27"/>
        <v>7</v>
      </c>
      <c r="P200" s="133">
        <f t="shared" si="31"/>
        <v>3.0396712528082532</v>
      </c>
      <c r="Q200" s="134">
        <f t="shared" si="28"/>
        <v>21.277698769657771</v>
      </c>
      <c r="R200" s="56">
        <f t="shared" si="29"/>
        <v>170.22159015726217</v>
      </c>
    </row>
    <row r="201" spans="13:18" x14ac:dyDescent="0.25">
      <c r="M201" s="90">
        <v>8</v>
      </c>
      <c r="N201" s="132">
        <f t="shared" si="30"/>
        <v>4</v>
      </c>
      <c r="O201" s="90">
        <f t="shared" si="27"/>
        <v>8</v>
      </c>
      <c r="P201" s="133">
        <f t="shared" si="31"/>
        <v>2.9227608200079351</v>
      </c>
      <c r="Q201" s="134">
        <f t="shared" si="28"/>
        <v>23.382086560063481</v>
      </c>
      <c r="R201" s="56">
        <f t="shared" si="29"/>
        <v>210.43877904057132</v>
      </c>
    </row>
    <row r="202" spans="13:18" x14ac:dyDescent="0.25">
      <c r="M202" s="90">
        <v>9</v>
      </c>
      <c r="N202" s="132">
        <f t="shared" si="30"/>
        <v>4</v>
      </c>
      <c r="O202" s="90">
        <f t="shared" si="27"/>
        <v>9</v>
      </c>
      <c r="P202" s="133">
        <f t="shared" si="31"/>
        <v>2.8103469423153218</v>
      </c>
      <c r="Q202" s="134">
        <f t="shared" si="28"/>
        <v>25.293122480837894</v>
      </c>
      <c r="R202" s="56">
        <f t="shared" si="29"/>
        <v>252.93122480837897</v>
      </c>
    </row>
    <row r="203" spans="13:18" x14ac:dyDescent="0.25">
      <c r="M203" s="90">
        <v>10</v>
      </c>
      <c r="N203" s="132">
        <f>+($N$189*$N$186/2)+N189</f>
        <v>104</v>
      </c>
      <c r="O203" s="90">
        <f t="shared" si="27"/>
        <v>10</v>
      </c>
      <c r="P203" s="133">
        <f t="shared" si="31"/>
        <v>70.258673557883043</v>
      </c>
      <c r="Q203" s="134">
        <f t="shared" si="28"/>
        <v>702.58673557883048</v>
      </c>
      <c r="R203" s="56">
        <f>+O203*(O203+1)*P203</f>
        <v>7728.4540913671344</v>
      </c>
    </row>
    <row r="204" spans="13:18" ht="20.25" x14ac:dyDescent="0.3">
      <c r="P204" s="135">
        <f>+SUM(P194:P203)</f>
        <v>99.999999999999957</v>
      </c>
      <c r="Q204" s="136">
        <f>+SUM(Q194:Q203)</f>
        <v>843.53316105292265</v>
      </c>
      <c r="R204" s="56">
        <f>+SUM(R194:R203)</f>
        <v>8734.3875958104491</v>
      </c>
    </row>
    <row r="206" spans="13:18" x14ac:dyDescent="0.25">
      <c r="M206" s="56" t="s">
        <v>154</v>
      </c>
      <c r="N206" s="56" t="s">
        <v>155</v>
      </c>
    </row>
    <row r="207" spans="13:18" x14ac:dyDescent="0.25">
      <c r="M207" s="56" t="s">
        <v>154</v>
      </c>
      <c r="N207" s="137">
        <f>+Q204/(N190*P204)</f>
        <v>4.2176658052646152</v>
      </c>
    </row>
    <row r="209" spans="13:20" x14ac:dyDescent="0.25">
      <c r="M209" s="56" t="s">
        <v>156</v>
      </c>
      <c r="N209" s="56" t="s">
        <v>157</v>
      </c>
    </row>
    <row r="210" spans="13:20" ht="20.25" x14ac:dyDescent="0.3">
      <c r="M210" s="56" t="s">
        <v>156</v>
      </c>
      <c r="N210" s="122">
        <f>+N207/(1+(N186)/N190)</f>
        <v>4.0554478896775148</v>
      </c>
    </row>
    <row r="212" spans="13:20" x14ac:dyDescent="0.25">
      <c r="P212" s="88" t="s">
        <v>92</v>
      </c>
    </row>
    <row r="213" spans="13:20" x14ac:dyDescent="0.25">
      <c r="M213" s="56" t="s">
        <v>158</v>
      </c>
      <c r="N213" s="65">
        <v>0.02</v>
      </c>
      <c r="O213" s="56">
        <f>-$N$210*N213</f>
        <v>-8.1108957793550304E-2</v>
      </c>
      <c r="P213" s="56">
        <f>+$N$189*(1+O213)</f>
        <v>91.889104220644967</v>
      </c>
    </row>
    <row r="214" spans="13:20" x14ac:dyDescent="0.25">
      <c r="M214" s="56" t="s">
        <v>159</v>
      </c>
      <c r="N214" s="65">
        <v>-0.01</v>
      </c>
      <c r="O214" s="56">
        <f>-$N$210*N214</f>
        <v>4.0554478896775152E-2</v>
      </c>
      <c r="P214" s="56">
        <f t="shared" ref="P214" si="32">+$N$189*(1+O214)</f>
        <v>104.05544788967751</v>
      </c>
    </row>
    <row r="216" spans="13:20" ht="20.25" x14ac:dyDescent="0.3">
      <c r="M216" s="122" t="s">
        <v>160</v>
      </c>
      <c r="N216" s="122">
        <f>+R204/(((1+N186/N190)^2)*((N190^2)*P204))</f>
        <v>20.188580796529337</v>
      </c>
    </row>
    <row r="218" spans="13:20" x14ac:dyDescent="0.25">
      <c r="Q218" s="396" t="s">
        <v>161</v>
      </c>
      <c r="R218" s="396"/>
      <c r="S218" s="138">
        <v>0.01</v>
      </c>
      <c r="T218" s="56" t="s">
        <v>162</v>
      </c>
    </row>
    <row r="219" spans="13:20" x14ac:dyDescent="0.25">
      <c r="Q219" s="396" t="s">
        <v>163</v>
      </c>
      <c r="R219" s="396"/>
      <c r="S219" s="139">
        <f>-$N$210*$S$218</f>
        <v>-4.0554478896775152E-2</v>
      </c>
    </row>
    <row r="220" spans="13:20" x14ac:dyDescent="0.25">
      <c r="Q220" s="396" t="s">
        <v>164</v>
      </c>
      <c r="R220" s="396"/>
      <c r="S220" s="139">
        <f>+(1/2)*$N$216*(S218^2)</f>
        <v>1.0094290398264668E-3</v>
      </c>
      <c r="T220" s="56" t="s">
        <v>165</v>
      </c>
    </row>
    <row r="221" spans="13:20" x14ac:dyDescent="0.25">
      <c r="Q221" s="396"/>
      <c r="R221" s="396"/>
      <c r="S221" s="139"/>
    </row>
    <row r="222" spans="13:20" x14ac:dyDescent="0.25">
      <c r="Q222" s="392" t="s">
        <v>166</v>
      </c>
      <c r="R222" s="392"/>
      <c r="S222" s="140">
        <f>+SUM(S219:S220)</f>
        <v>-3.9545049856948684E-2</v>
      </c>
    </row>
    <row r="223" spans="13:20" x14ac:dyDescent="0.25">
      <c r="Q223" s="397"/>
      <c r="R223" s="398"/>
      <c r="S223" s="139"/>
    </row>
    <row r="224" spans="13:20" x14ac:dyDescent="0.25">
      <c r="Q224" s="392" t="s">
        <v>167</v>
      </c>
      <c r="R224" s="392"/>
      <c r="S224" s="141">
        <f>+$N$189*(1+S222)</f>
        <v>96.045495014305132</v>
      </c>
    </row>
    <row r="225" spans="13:19" x14ac:dyDescent="0.25">
      <c r="S225" s="56">
        <v>96.045495014305132</v>
      </c>
    </row>
    <row r="228" spans="13:19" x14ac:dyDescent="0.25">
      <c r="Q228" s="396" t="s">
        <v>161</v>
      </c>
      <c r="R228" s="396"/>
      <c r="S228" s="138">
        <v>-0.02</v>
      </c>
    </row>
    <row r="229" spans="13:19" x14ac:dyDescent="0.25">
      <c r="Q229" s="396" t="s">
        <v>163</v>
      </c>
      <c r="R229" s="396"/>
      <c r="S229" s="139">
        <f>-$N$210*$S$228</f>
        <v>8.1108957793550304E-2</v>
      </c>
    </row>
    <row r="230" spans="13:19" x14ac:dyDescent="0.25">
      <c r="Q230" s="396" t="s">
        <v>164</v>
      </c>
      <c r="R230" s="396"/>
      <c r="S230" s="139">
        <f>+(1/2)*$N$216*(S228^2)</f>
        <v>4.0377161593058673E-3</v>
      </c>
    </row>
    <row r="231" spans="13:19" x14ac:dyDescent="0.25">
      <c r="Q231" s="396"/>
      <c r="R231" s="396"/>
      <c r="S231" s="139"/>
    </row>
    <row r="232" spans="13:19" x14ac:dyDescent="0.25">
      <c r="Q232" s="392" t="s">
        <v>166</v>
      </c>
      <c r="R232" s="392"/>
      <c r="S232" s="140">
        <f>+SUM(S229:S230)</f>
        <v>8.5146673952856175E-2</v>
      </c>
    </row>
    <row r="233" spans="13:19" x14ac:dyDescent="0.25">
      <c r="Q233" s="397"/>
      <c r="R233" s="398"/>
      <c r="S233" s="139"/>
    </row>
    <row r="234" spans="13:19" x14ac:dyDescent="0.25">
      <c r="Q234" s="392" t="s">
        <v>167</v>
      </c>
      <c r="R234" s="392"/>
      <c r="S234" s="141">
        <f>+$N$189*(1+S232)</f>
        <v>108.51466739528561</v>
      </c>
    </row>
    <row r="235" spans="13:19" x14ac:dyDescent="0.25">
      <c r="S235" s="56">
        <v>108.51466739528561</v>
      </c>
    </row>
    <row r="239" spans="13:19" x14ac:dyDescent="0.25">
      <c r="M239" s="59" t="s">
        <v>142</v>
      </c>
    </row>
    <row r="240" spans="13:19" x14ac:dyDescent="0.25">
      <c r="M240" s="142" t="s">
        <v>168</v>
      </c>
      <c r="N240" s="142"/>
      <c r="O240" s="142">
        <v>5000000</v>
      </c>
    </row>
    <row r="241" spans="13:15" x14ac:dyDescent="0.25">
      <c r="M241" s="142" t="s">
        <v>131</v>
      </c>
      <c r="N241" s="142"/>
      <c r="O241" s="142">
        <v>7.5</v>
      </c>
    </row>
    <row r="242" spans="13:15" x14ac:dyDescent="0.25">
      <c r="M242" s="142" t="s">
        <v>169</v>
      </c>
      <c r="N242" s="142"/>
      <c r="O242" s="142">
        <v>35</v>
      </c>
    </row>
    <row r="243" spans="13:15" x14ac:dyDescent="0.25">
      <c r="M243" s="142" t="s">
        <v>170</v>
      </c>
      <c r="N243" s="142"/>
      <c r="O243" s="143">
        <v>-0.02</v>
      </c>
    </row>
    <row r="244" spans="13:15" x14ac:dyDescent="0.25">
      <c r="M244" s="56" t="s">
        <v>163</v>
      </c>
      <c r="O244" s="92">
        <f>-O241*O243</f>
        <v>0.15</v>
      </c>
    </row>
    <row r="245" spans="13:15" x14ac:dyDescent="0.25">
      <c r="M245" s="56" t="s">
        <v>164</v>
      </c>
      <c r="O245" s="92">
        <f>+(1/2)*O242*(O243^2)</f>
        <v>7.0000000000000001E-3</v>
      </c>
    </row>
    <row r="247" spans="13:15" x14ac:dyDescent="0.25">
      <c r="M247" s="56" t="s">
        <v>171</v>
      </c>
      <c r="O247" s="91">
        <f>+O245+O244</f>
        <v>0.157</v>
      </c>
    </row>
    <row r="249" spans="13:15" x14ac:dyDescent="0.25">
      <c r="M249" s="56" t="s">
        <v>130</v>
      </c>
      <c r="O249" s="56">
        <f>+O240</f>
        <v>5000000</v>
      </c>
    </row>
    <row r="250" spans="13:15" x14ac:dyDescent="0.25">
      <c r="M250" s="56" t="s">
        <v>172</v>
      </c>
      <c r="O250" s="56">
        <f>+O240*(1+O247)</f>
        <v>5785000</v>
      </c>
    </row>
    <row r="254" spans="13:15" x14ac:dyDescent="0.25">
      <c r="M254" s="56" t="s">
        <v>142</v>
      </c>
      <c r="N254" s="59" t="s">
        <v>173</v>
      </c>
    </row>
    <row r="255" spans="13:15" x14ac:dyDescent="0.25">
      <c r="M255" s="56" t="s">
        <v>130</v>
      </c>
      <c r="O255" s="56">
        <v>20000000</v>
      </c>
    </row>
    <row r="256" spans="13:15" x14ac:dyDescent="0.25">
      <c r="M256" s="56" t="s">
        <v>169</v>
      </c>
      <c r="O256" s="56">
        <v>50</v>
      </c>
    </row>
    <row r="257" spans="13:16" x14ac:dyDescent="0.25">
      <c r="M257" s="56" t="s">
        <v>174</v>
      </c>
      <c r="O257" s="65">
        <v>0.01</v>
      </c>
    </row>
    <row r="258" spans="13:16" x14ac:dyDescent="0.25">
      <c r="M258" s="56" t="s">
        <v>175</v>
      </c>
      <c r="O258" s="56">
        <v>19650000</v>
      </c>
    </row>
    <row r="260" spans="13:16" x14ac:dyDescent="0.25">
      <c r="M260" s="56" t="s">
        <v>163</v>
      </c>
      <c r="O260" s="144">
        <f>+O262-O261</f>
        <v>-1.9999999999999959E-2</v>
      </c>
      <c r="P260" s="56" t="s">
        <v>176</v>
      </c>
    </row>
    <row r="261" spans="13:16" x14ac:dyDescent="0.25">
      <c r="M261" s="56" t="s">
        <v>177</v>
      </c>
      <c r="O261" s="78">
        <f>+(1/2)*O256*O257^2</f>
        <v>2.5000000000000001E-3</v>
      </c>
    </row>
    <row r="262" spans="13:16" x14ac:dyDescent="0.25">
      <c r="M262" s="56" t="s">
        <v>178</v>
      </c>
      <c r="O262" s="56">
        <f>+(O258/O255)-1</f>
        <v>-1.749999999999996E-2</v>
      </c>
    </row>
    <row r="264" spans="13:16" x14ac:dyDescent="0.25">
      <c r="M264" s="145" t="s">
        <v>179</v>
      </c>
      <c r="N264" s="56" t="s">
        <v>180</v>
      </c>
    </row>
    <row r="265" spans="13:16" ht="20.25" x14ac:dyDescent="0.3">
      <c r="M265" s="59" t="s">
        <v>181</v>
      </c>
      <c r="N265" s="122">
        <f>-2%/-1%</f>
        <v>2</v>
      </c>
    </row>
  </sheetData>
  <mergeCells count="27">
    <mergeCell ref="Q232:R232"/>
    <mergeCell ref="Q233:R233"/>
    <mergeCell ref="Q234:R234"/>
    <mergeCell ref="Q223:R223"/>
    <mergeCell ref="Q224:R224"/>
    <mergeCell ref="Q228:R228"/>
    <mergeCell ref="Q229:R229"/>
    <mergeCell ref="Q230:R230"/>
    <mergeCell ref="Q231:R231"/>
    <mergeCell ref="Q222:R222"/>
    <mergeCell ref="U61:X61"/>
    <mergeCell ref="U79:X79"/>
    <mergeCell ref="U104:X104"/>
    <mergeCell ref="U125:X125"/>
    <mergeCell ref="U146:X146"/>
    <mergeCell ref="X170:Z170"/>
    <mergeCell ref="X176:AE192"/>
    <mergeCell ref="Q218:R218"/>
    <mergeCell ref="Q219:R219"/>
    <mergeCell ref="Q220:R220"/>
    <mergeCell ref="Q221:R221"/>
    <mergeCell ref="P8:S8"/>
    <mergeCell ref="U8:X8"/>
    <mergeCell ref="P26:S26"/>
    <mergeCell ref="U26:X26"/>
    <mergeCell ref="P42:S42"/>
    <mergeCell ref="U42:X42"/>
  </mergeCells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3445CFE3DA4B41B8238CF83C9D3B60" ma:contentTypeVersion="13" ma:contentTypeDescription="Create a new document." ma:contentTypeScope="" ma:versionID="987c8dd2e4222ec8df27bfa481f5cf95">
  <xsd:schema xmlns:xsd="http://www.w3.org/2001/XMLSchema" xmlns:xs="http://www.w3.org/2001/XMLSchema" xmlns:p="http://schemas.microsoft.com/office/2006/metadata/properties" xmlns:ns3="2d5a067a-a5e4-486f-9b27-16deda374e1f" xmlns:ns4="a48334f1-387d-41f2-ac48-b07be06f3921" targetNamespace="http://schemas.microsoft.com/office/2006/metadata/properties" ma:root="true" ma:fieldsID="797e1ed1d71c4aa713ad6bead20e11fa" ns3:_="" ns4:_="">
    <xsd:import namespace="2d5a067a-a5e4-486f-9b27-16deda374e1f"/>
    <xsd:import namespace="a48334f1-387d-41f2-ac48-b07be06f39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067a-a5e4-486f-9b27-16deda374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334f1-387d-41f2-ac48-b07be06f392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A1B4D8-96D9-47B4-836B-7418528DB5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ABC7C-93D2-4BCC-A8F3-7A6E7223C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a067a-a5e4-486f-9b27-16deda374e1f"/>
    <ds:schemaRef ds:uri="a48334f1-387d-41f2-ac48-b07be06f3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2BA18-25C3-4326-9AF4-23803209F6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X.1. Valor de distribución</vt:lpstr>
      <vt:lpstr>X.2. Tabla de capitalización</vt:lpstr>
      <vt:lpstr>X.3. Bonos</vt:lpstr>
      <vt:lpstr>X.4. Valoración feb y mar</vt:lpstr>
      <vt:lpstr>X.5.Duración-Convexidad feb mar</vt:lpstr>
      <vt:lpstr>X.6. Valoración abril</vt:lpstr>
      <vt:lpstr>14032020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FELIPE BOHÓRQUEZ VESGA</dc:creator>
  <cp:lastModifiedBy>Ferney Camilo Ramírez Hamón</cp:lastModifiedBy>
  <dcterms:created xsi:type="dcterms:W3CDTF">2020-02-26T19:39:21Z</dcterms:created>
  <dcterms:modified xsi:type="dcterms:W3CDTF">2020-05-16T19:53:47Z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0x010100173445CFE3DA4B41B8238CF83C9D3B60</vt:lpwstr>
  </property>
  <property fmtid="{D5CDD505-2E9C-101B-9397-08002B2CF9AE}" pid="3" name="SV_QUERY_LIST_4F35BF76-6C0D-4D9B-82B2-816C12CF3733">
    <vt:lpwstr>empty_477D106A-C0D6-4607-AEBD-E2C9D60EA279</vt:lpwstr>
  </property>
</Properties>
</file>